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6"/>
  <workbookPr codeName="ThisWorkbook"/>
  <mc:AlternateContent xmlns:mc="http://schemas.openxmlformats.org/markup-compatibility/2006">
    <mc:Choice Requires="x15">
      <x15ac:absPath xmlns:x15ac="http://schemas.microsoft.com/office/spreadsheetml/2010/11/ac" url="D:\working\waccache\PA1PEPF000404A1\EXCELCNV\c3e6a114-26b5-4d48-8ca7-85e4f20b5005\"/>
    </mc:Choice>
  </mc:AlternateContent>
  <xr:revisionPtr revIDLastSave="0" documentId="8_{75F884BC-3B2B-4476-BE37-D6C1BCB33141}" xr6:coauthVersionLast="47" xr6:coauthVersionMax="47" xr10:uidLastSave="{00000000-0000-0000-0000-000000000000}"/>
  <bookViews>
    <workbookView xWindow="-60" yWindow="-60" windowWidth="15480" windowHeight="11640" tabRatio="880" xr2:uid="{00000000-000D-0000-FFFF-FFFF00000000}"/>
  </bookViews>
  <sheets>
    <sheet name="A3 - LISTA 2024" sheetId="17" r:id="rId1"/>
    <sheet name="A3 - STUDII SI PROIECTE 2024" sheetId="6" r:id="rId2"/>
    <sheet name="A3 - DOTARI 2024" sheetId="18" r:id="rId3"/>
    <sheet name="A3 - ALTE CHELTUIELI 2024" sheetId="14" r:id="rId4"/>
    <sheet name="A3 BIS - LISTA 2024" sheetId="20" r:id="rId5"/>
    <sheet name="A3BIS - STUDII SI PROIECTE 2024" sheetId="21" r:id="rId6"/>
    <sheet name="A3 BIS - DOTARI 2024" sheetId="22" r:id="rId7"/>
    <sheet name="A3 BIS ALTE CHELTUIELI 2024" sheetId="23" state="hidden" r:id="rId8"/>
  </sheets>
  <definedNames>
    <definedName name="_xlnm.Database">#REF!</definedName>
    <definedName name="_xlnm.Print_Titles" localSheetId="3">'A3 - ALTE CHELTUIELI 2024'!$21:$21</definedName>
    <definedName name="_xlnm.Print_Titles" localSheetId="2">'A3 - DOTARI 2024'!$12:$12</definedName>
    <definedName name="_xlnm.Print_Titles" localSheetId="0">'A3 - LISTA 2024'!$10:$11</definedName>
    <definedName name="_xlnm.Print_Titles" localSheetId="1">'A3 - STUDII SI PROIECTE 2024'!$10:$10</definedName>
    <definedName name="_xlnm.Print_Titles" localSheetId="6">'A3 BIS - DOTARI 2024'!$13:$13</definedName>
    <definedName name="_xlnm.Print_Titles" localSheetId="4">'A3 BIS - LISTA 2024'!$10:$11</definedName>
    <definedName name="_xlnm.Print_Titles" localSheetId="7">'A3 BIS ALTE CHELTUIELI 2024'!$20:$20</definedName>
    <definedName name="_xlnm.Print_Titles" localSheetId="5">'A3BIS - STUDII SI PROIECTE 2024'!$10:$10</definedName>
    <definedName name="OLE_LINK1" localSheetId="1">'A3 - STUDII SI PROIECTE 2024'!#REF!</definedName>
    <definedName name="OLE_LINK1" localSheetId="5">'A3BIS - STUDII SI PROIECTE 2024'!#REF!</definedName>
    <definedName name="_xlnm.Print_Area" localSheetId="3">'A3 - ALTE CHELTUIELI 2024'!$A$1:$O$79</definedName>
    <definedName name="_xlnm.Print_Area" localSheetId="2">'A3 - DOTARI 2024'!$A$1:$O$169</definedName>
    <definedName name="_xlnm.Print_Area" localSheetId="0">'A3 - LISTA 2024'!$A$1:$N$648</definedName>
    <definedName name="_xlnm.Print_Area" localSheetId="1">'A3 - STUDII SI PROIECTE 2024'!$A$1:$O$240</definedName>
    <definedName name="_xlnm.Print_Area" localSheetId="6">'A3 BIS - DOTARI 2024'!$A$1:$O$87</definedName>
    <definedName name="_xlnm.Print_Area" localSheetId="4">'A3 BIS - LISTA 2024'!$A$1:$N$349</definedName>
    <definedName name="_xlnm.Print_Area" localSheetId="7">'A3 BIS ALTE CHELTUIELI 2024'!$A$1:$O$55</definedName>
    <definedName name="_xlnm.Print_Area" localSheetId="5">'A3BIS - STUDII SI PROIECTE 2024'!$A$1:$O$73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0" i="17" l="1"/>
  <c r="J266" i="17"/>
  <c r="H46" i="14"/>
  <c r="H355" i="17"/>
  <c r="I355" i="17"/>
  <c r="J355" i="17"/>
  <c r="K355" i="17"/>
  <c r="L355" i="17"/>
  <c r="M355" i="17"/>
  <c r="H356" i="17"/>
  <c r="I356" i="17"/>
  <c r="J356" i="17"/>
  <c r="K356" i="17"/>
  <c r="M356" i="17"/>
  <c r="C356" i="17"/>
  <c r="C355" i="17"/>
  <c r="H371" i="17"/>
  <c r="I371" i="17"/>
  <c r="J371" i="17"/>
  <c r="K371" i="17"/>
  <c r="L371" i="17"/>
  <c r="M371" i="17"/>
  <c r="E372" i="17"/>
  <c r="H372" i="17"/>
  <c r="I372" i="17"/>
  <c r="J372" i="17"/>
  <c r="J353" i="17" s="1"/>
  <c r="K372" i="17"/>
  <c r="M372" i="17"/>
  <c r="C372" i="17"/>
  <c r="E418" i="17"/>
  <c r="H418" i="17"/>
  <c r="I418" i="17"/>
  <c r="J418" i="17"/>
  <c r="K418" i="17"/>
  <c r="L418" i="17"/>
  <c r="M418" i="17"/>
  <c r="E419" i="17"/>
  <c r="E412" i="17"/>
  <c r="H419" i="17"/>
  <c r="H412" i="17" s="1"/>
  <c r="I419" i="17"/>
  <c r="I412" i="17"/>
  <c r="J419" i="17"/>
  <c r="J412" i="17"/>
  <c r="K419" i="17"/>
  <c r="K412" i="17"/>
  <c r="L419" i="17"/>
  <c r="L412" i="17"/>
  <c r="M419" i="17"/>
  <c r="M412" i="17"/>
  <c r="C419" i="17"/>
  <c r="C412" i="17"/>
  <c r="C418" i="17"/>
  <c r="H475" i="17"/>
  <c r="I475" i="17"/>
  <c r="K475" i="17"/>
  <c r="L475" i="17"/>
  <c r="M475" i="17"/>
  <c r="H476" i="17"/>
  <c r="I476" i="17"/>
  <c r="K476" i="17"/>
  <c r="L476" i="17"/>
  <c r="M476" i="17"/>
  <c r="C476" i="17"/>
  <c r="C475" i="17"/>
  <c r="E492" i="17"/>
  <c r="H492" i="17"/>
  <c r="I492" i="17"/>
  <c r="J492" i="17"/>
  <c r="K492" i="17"/>
  <c r="E493" i="17"/>
  <c r="I493" i="17"/>
  <c r="J493" i="17"/>
  <c r="K493" i="17"/>
  <c r="K473" i="17"/>
  <c r="L493" i="17"/>
  <c r="L473" i="17" s="1"/>
  <c r="M493" i="17"/>
  <c r="C493" i="17"/>
  <c r="C473" i="17"/>
  <c r="C492" i="17"/>
  <c r="H518" i="17"/>
  <c r="I518" i="17"/>
  <c r="K518" i="17"/>
  <c r="L518" i="17"/>
  <c r="M518" i="17"/>
  <c r="H519" i="17"/>
  <c r="I519" i="17"/>
  <c r="K519" i="17"/>
  <c r="L519" i="17"/>
  <c r="M519" i="17"/>
  <c r="C519" i="17"/>
  <c r="C518" i="17"/>
  <c r="E569" i="17"/>
  <c r="H569" i="17"/>
  <c r="I569" i="17"/>
  <c r="J569" i="17"/>
  <c r="K569" i="17"/>
  <c r="L569" i="17"/>
  <c r="M569" i="17"/>
  <c r="E570" i="17"/>
  <c r="H570" i="17"/>
  <c r="H516" i="17" s="1"/>
  <c r="I570" i="17"/>
  <c r="I516" i="17" s="1"/>
  <c r="J570" i="17"/>
  <c r="K570" i="17"/>
  <c r="K516" i="17" s="1"/>
  <c r="L570" i="17"/>
  <c r="M570" i="17"/>
  <c r="M516" i="17" s="1"/>
  <c r="C570" i="17"/>
  <c r="C516" i="17" s="1"/>
  <c r="C569" i="17"/>
  <c r="I232" i="6"/>
  <c r="H609" i="17"/>
  <c r="J232" i="6"/>
  <c r="I609" i="17"/>
  <c r="K232" i="6"/>
  <c r="L232" i="6"/>
  <c r="K609" i="17"/>
  <c r="N232" i="6"/>
  <c r="M609" i="17"/>
  <c r="F214" i="6"/>
  <c r="E506" i="17"/>
  <c r="I214" i="6"/>
  <c r="H506" i="17"/>
  <c r="J214" i="6"/>
  <c r="I506" i="17"/>
  <c r="K214" i="6"/>
  <c r="L214" i="6"/>
  <c r="K506" i="17"/>
  <c r="M214" i="6"/>
  <c r="L506" i="17"/>
  <c r="N214" i="6"/>
  <c r="F200" i="6"/>
  <c r="E468" i="17"/>
  <c r="I200" i="6"/>
  <c r="J200" i="6"/>
  <c r="K200" i="6"/>
  <c r="L200" i="6"/>
  <c r="K468" i="17"/>
  <c r="M200" i="6"/>
  <c r="L468" i="17"/>
  <c r="N200" i="6"/>
  <c r="I195" i="6"/>
  <c r="H432" i="17"/>
  <c r="J195" i="6"/>
  <c r="I432" i="17"/>
  <c r="K195" i="6"/>
  <c r="J432" i="17"/>
  <c r="L195" i="6"/>
  <c r="K432" i="17"/>
  <c r="M195" i="6"/>
  <c r="L432" i="17"/>
  <c r="N195" i="6"/>
  <c r="I186" i="6"/>
  <c r="H406" i="17"/>
  <c r="J186" i="6"/>
  <c r="K186" i="6"/>
  <c r="L186" i="6"/>
  <c r="K406" i="17"/>
  <c r="N186" i="6"/>
  <c r="M406" i="17"/>
  <c r="I141" i="6"/>
  <c r="J141" i="6"/>
  <c r="I316" i="17"/>
  <c r="K141" i="6"/>
  <c r="L141" i="6"/>
  <c r="K316" i="17"/>
  <c r="N141" i="6"/>
  <c r="M316" i="17"/>
  <c r="I112" i="6"/>
  <c r="H246" i="17"/>
  <c r="J112" i="6"/>
  <c r="K112" i="6"/>
  <c r="L112" i="6"/>
  <c r="K246" i="17"/>
  <c r="M112" i="6"/>
  <c r="L246" i="17"/>
  <c r="N112" i="6"/>
  <c r="M246" i="17"/>
  <c r="I99" i="6"/>
  <c r="H214" i="17"/>
  <c r="J99" i="6"/>
  <c r="I214" i="17"/>
  <c r="L99" i="6"/>
  <c r="N99" i="6"/>
  <c r="M214" i="17"/>
  <c r="I43" i="6"/>
  <c r="H73" i="17"/>
  <c r="J43" i="6"/>
  <c r="I73" i="17"/>
  <c r="K43" i="6"/>
  <c r="J73" i="17"/>
  <c r="L43" i="6"/>
  <c r="N43" i="6"/>
  <c r="F12" i="14"/>
  <c r="I12" i="14"/>
  <c r="J12" i="14"/>
  <c r="K12" i="14"/>
  <c r="L12" i="14"/>
  <c r="M12" i="14"/>
  <c r="N12" i="14"/>
  <c r="E18" i="14"/>
  <c r="F18" i="14"/>
  <c r="G18" i="14"/>
  <c r="H18" i="14"/>
  <c r="I18" i="14"/>
  <c r="J18" i="14"/>
  <c r="K18" i="14"/>
  <c r="L18" i="14"/>
  <c r="M18" i="14"/>
  <c r="N18" i="14"/>
  <c r="F153" i="18"/>
  <c r="E610" i="17"/>
  <c r="J153" i="18"/>
  <c r="I610" i="17"/>
  <c r="K153" i="18"/>
  <c r="L153" i="18"/>
  <c r="M153" i="18"/>
  <c r="L610" i="17"/>
  <c r="N153" i="18"/>
  <c r="F139" i="18"/>
  <c r="I139" i="18"/>
  <c r="J139" i="18"/>
  <c r="I507" i="17"/>
  <c r="I503" i="17" s="1"/>
  <c r="I472" i="17" s="1"/>
  <c r="L139" i="18"/>
  <c r="K507" i="17"/>
  <c r="K503" i="17" s="1"/>
  <c r="K472" i="17" s="1"/>
  <c r="M139" i="18"/>
  <c r="N139" i="18"/>
  <c r="M507" i="17"/>
  <c r="F124" i="18"/>
  <c r="I124" i="18"/>
  <c r="H433" i="17"/>
  <c r="H429" i="17" s="1"/>
  <c r="H411" i="17" s="1"/>
  <c r="J124" i="18"/>
  <c r="I433" i="17"/>
  <c r="I429" i="17" s="1"/>
  <c r="I411" i="17" s="1"/>
  <c r="K124" i="18"/>
  <c r="L124" i="18"/>
  <c r="K433" i="17"/>
  <c r="K429" i="17" s="1"/>
  <c r="K411" i="17" s="1"/>
  <c r="M124" i="18"/>
  <c r="L433" i="17"/>
  <c r="L429" i="17" s="1"/>
  <c r="L411" i="17" s="1"/>
  <c r="N124" i="18"/>
  <c r="F116" i="18"/>
  <c r="E407" i="17"/>
  <c r="I116" i="18"/>
  <c r="J116" i="18"/>
  <c r="K116" i="18"/>
  <c r="L116" i="18"/>
  <c r="M116" i="18"/>
  <c r="N116" i="18"/>
  <c r="M407" i="17"/>
  <c r="F106" i="18"/>
  <c r="I106" i="18"/>
  <c r="H348" i="17"/>
  <c r="J106" i="18"/>
  <c r="K106" i="18"/>
  <c r="L106" i="18"/>
  <c r="M106" i="18"/>
  <c r="N106" i="18"/>
  <c r="M348" i="17"/>
  <c r="M344" i="17"/>
  <c r="M333" i="17"/>
  <c r="F99" i="18"/>
  <c r="E317" i="17"/>
  <c r="I99" i="18"/>
  <c r="J99" i="18"/>
  <c r="K99" i="18"/>
  <c r="J317" i="17"/>
  <c r="L99" i="18"/>
  <c r="M99" i="18"/>
  <c r="N99" i="18"/>
  <c r="F88" i="18"/>
  <c r="I88" i="18"/>
  <c r="H247" i="17"/>
  <c r="J88" i="18"/>
  <c r="I247" i="17"/>
  <c r="K88" i="18"/>
  <c r="M88" i="18"/>
  <c r="L247" i="17"/>
  <c r="N88" i="18"/>
  <c r="M247" i="17"/>
  <c r="F72" i="18"/>
  <c r="I72" i="18"/>
  <c r="J72" i="18"/>
  <c r="L72" i="18"/>
  <c r="M72" i="18"/>
  <c r="N72" i="18"/>
  <c r="M215" i="17"/>
  <c r="I35" i="18"/>
  <c r="H97" i="17"/>
  <c r="H93" i="17"/>
  <c r="H84" i="17"/>
  <c r="J35" i="18"/>
  <c r="K35" i="18"/>
  <c r="J97" i="17"/>
  <c r="L35" i="18"/>
  <c r="M35" i="18"/>
  <c r="L97" i="17"/>
  <c r="N35" i="18"/>
  <c r="F24" i="18"/>
  <c r="I24" i="18"/>
  <c r="H74" i="17"/>
  <c r="H70" i="17" s="1"/>
  <c r="J24" i="18"/>
  <c r="I74" i="17"/>
  <c r="I70" i="17" s="1"/>
  <c r="K24" i="18"/>
  <c r="J74" i="17"/>
  <c r="J70" i="17" s="1"/>
  <c r="L24" i="18"/>
  <c r="K74" i="17"/>
  <c r="N24" i="18"/>
  <c r="M74" i="17"/>
  <c r="F24" i="14"/>
  <c r="I24" i="14"/>
  <c r="J24" i="14"/>
  <c r="I216" i="17"/>
  <c r="K24" i="14"/>
  <c r="L24" i="14"/>
  <c r="M24" i="14"/>
  <c r="N24" i="14"/>
  <c r="F36" i="14"/>
  <c r="E248" i="17"/>
  <c r="I36" i="14"/>
  <c r="J36" i="14"/>
  <c r="I248" i="17"/>
  <c r="K36" i="14"/>
  <c r="L36" i="14"/>
  <c r="M36" i="14"/>
  <c r="L248" i="17"/>
  <c r="N36" i="14"/>
  <c r="F50" i="14"/>
  <c r="E318" i="17"/>
  <c r="I50" i="14"/>
  <c r="H318" i="17"/>
  <c r="J50" i="14"/>
  <c r="I318" i="17"/>
  <c r="K50" i="14"/>
  <c r="J318" i="17"/>
  <c r="L50" i="14"/>
  <c r="K318" i="17"/>
  <c r="M50" i="14"/>
  <c r="L318" i="17"/>
  <c r="N50" i="14"/>
  <c r="M318" i="17"/>
  <c r="F64" i="14"/>
  <c r="I64" i="14"/>
  <c r="H408" i="17"/>
  <c r="J64" i="14"/>
  <c r="K64" i="14"/>
  <c r="J408" i="17"/>
  <c r="L64" i="14"/>
  <c r="K408" i="17"/>
  <c r="M64" i="14"/>
  <c r="L408" i="17"/>
  <c r="N64" i="14"/>
  <c r="M408" i="17"/>
  <c r="I71" i="14"/>
  <c r="H611" i="17"/>
  <c r="J71" i="14"/>
  <c r="I611" i="17"/>
  <c r="K71" i="14"/>
  <c r="J611" i="17"/>
  <c r="L71" i="14"/>
  <c r="K611" i="17"/>
  <c r="M71" i="14"/>
  <c r="L611" i="17" s="1"/>
  <c r="N71" i="14"/>
  <c r="M611" i="17"/>
  <c r="L495" i="17"/>
  <c r="L492" i="17"/>
  <c r="M495" i="17"/>
  <c r="M492" i="17"/>
  <c r="H212" i="6"/>
  <c r="G212" i="6"/>
  <c r="E212" i="6"/>
  <c r="H211" i="6"/>
  <c r="G211" i="6"/>
  <c r="E211" i="6"/>
  <c r="H210" i="6"/>
  <c r="G210" i="6"/>
  <c r="E210" i="6"/>
  <c r="J525" i="17"/>
  <c r="J521" i="17"/>
  <c r="J457" i="17"/>
  <c r="J529" i="17"/>
  <c r="G529" i="17"/>
  <c r="J114" i="17"/>
  <c r="J110" i="17"/>
  <c r="D194" i="6"/>
  <c r="G194" i="6"/>
  <c r="J609" i="17"/>
  <c r="H222" i="6"/>
  <c r="G565" i="17"/>
  <c r="G557" i="17"/>
  <c r="G160" i="17"/>
  <c r="G144" i="17"/>
  <c r="D469" i="17"/>
  <c r="E469" i="17"/>
  <c r="E465" i="17" s="1"/>
  <c r="F469" i="17"/>
  <c r="G469" i="17"/>
  <c r="H469" i="17"/>
  <c r="I469" i="17"/>
  <c r="J469" i="17"/>
  <c r="K469" i="17"/>
  <c r="K465" i="17" s="1"/>
  <c r="L469" i="17"/>
  <c r="L465" i="17" s="1"/>
  <c r="M469" i="17"/>
  <c r="C469" i="17"/>
  <c r="K353" i="17"/>
  <c r="H270" i="17"/>
  <c r="I270" i="17"/>
  <c r="J270" i="17"/>
  <c r="K270" i="17"/>
  <c r="L270" i="17"/>
  <c r="M270" i="17"/>
  <c r="H271" i="17"/>
  <c r="I271" i="17"/>
  <c r="J271" i="17"/>
  <c r="K271" i="17"/>
  <c r="M271" i="17"/>
  <c r="C271" i="17"/>
  <c r="H263" i="17"/>
  <c r="I263" i="17"/>
  <c r="K263" i="17"/>
  <c r="L263" i="17"/>
  <c r="M263" i="17"/>
  <c r="H264" i="17"/>
  <c r="I264" i="17"/>
  <c r="I261" i="17"/>
  <c r="K264" i="17"/>
  <c r="L264" i="17"/>
  <c r="M264" i="17"/>
  <c r="C264" i="17"/>
  <c r="C261" i="17"/>
  <c r="C263" i="17"/>
  <c r="E232" i="17"/>
  <c r="H232" i="17"/>
  <c r="I232" i="17"/>
  <c r="J232" i="17"/>
  <c r="K232" i="17"/>
  <c r="L232" i="17"/>
  <c r="M232" i="17"/>
  <c r="E233" i="17"/>
  <c r="E227" i="17"/>
  <c r="H233" i="17"/>
  <c r="I233" i="17"/>
  <c r="I227" i="17"/>
  <c r="J233" i="17"/>
  <c r="J227" i="17"/>
  <c r="K233" i="17"/>
  <c r="K227" i="17"/>
  <c r="L233" i="17"/>
  <c r="L227" i="17"/>
  <c r="M233" i="17"/>
  <c r="C233" i="17"/>
  <c r="C227" i="17"/>
  <c r="C232" i="17"/>
  <c r="E121" i="17"/>
  <c r="H121" i="17"/>
  <c r="I121" i="17"/>
  <c r="J121" i="17"/>
  <c r="K121" i="17"/>
  <c r="L121" i="17"/>
  <c r="M121" i="17"/>
  <c r="E122" i="17"/>
  <c r="H122" i="17"/>
  <c r="I122" i="17"/>
  <c r="J122" i="17"/>
  <c r="K122" i="17"/>
  <c r="L122" i="17"/>
  <c r="M122" i="17"/>
  <c r="C122" i="17"/>
  <c r="C121" i="17"/>
  <c r="D106" i="17"/>
  <c r="H106" i="17"/>
  <c r="I106" i="17"/>
  <c r="K106" i="17"/>
  <c r="M106" i="17"/>
  <c r="H107" i="17"/>
  <c r="H104" i="17" s="1"/>
  <c r="I107" i="17"/>
  <c r="K107" i="17"/>
  <c r="L107" i="17"/>
  <c r="L104" i="17"/>
  <c r="M107" i="17"/>
  <c r="C107" i="17"/>
  <c r="C106" i="17"/>
  <c r="D85" i="17"/>
  <c r="E85" i="17"/>
  <c r="H85" i="17"/>
  <c r="I85" i="17"/>
  <c r="J85" i="17"/>
  <c r="K85" i="17"/>
  <c r="L85" i="17"/>
  <c r="M85" i="17"/>
  <c r="C85" i="17"/>
  <c r="I97" i="17"/>
  <c r="I93" i="17"/>
  <c r="I84" i="17"/>
  <c r="K97" i="17"/>
  <c r="K93" i="17"/>
  <c r="K84" i="17"/>
  <c r="M97" i="17"/>
  <c r="M93" i="17"/>
  <c r="M84" i="17"/>
  <c r="E35" i="17"/>
  <c r="H35" i="17"/>
  <c r="H19" i="17"/>
  <c r="I35" i="17"/>
  <c r="J35" i="17"/>
  <c r="J19" i="17"/>
  <c r="K35" i="17"/>
  <c r="K19" i="17"/>
  <c r="L35" i="17"/>
  <c r="L19" i="17"/>
  <c r="M35" i="17"/>
  <c r="M19" i="17"/>
  <c r="E36" i="17"/>
  <c r="E30" i="17"/>
  <c r="H36" i="17"/>
  <c r="H30" i="17"/>
  <c r="I36" i="17"/>
  <c r="I30" i="17"/>
  <c r="J36" i="17"/>
  <c r="J30" i="17"/>
  <c r="K36" i="17"/>
  <c r="K30" i="17"/>
  <c r="L36" i="17"/>
  <c r="L30" i="17"/>
  <c r="M36" i="17"/>
  <c r="M30" i="17"/>
  <c r="C36" i="17"/>
  <c r="C30" i="17"/>
  <c r="C35" i="17"/>
  <c r="G66" i="17"/>
  <c r="G58" i="17"/>
  <c r="E74" i="17"/>
  <c r="H407" i="17"/>
  <c r="H403" i="17" s="1"/>
  <c r="H352" i="17" s="1"/>
  <c r="I407" i="17"/>
  <c r="J407" i="17"/>
  <c r="K407" i="17"/>
  <c r="K403" i="17" s="1"/>
  <c r="K352" i="17" s="1"/>
  <c r="L407" i="17"/>
  <c r="H500" i="17"/>
  <c r="H493" i="17"/>
  <c r="H38" i="6"/>
  <c r="G38" i="6"/>
  <c r="E38" i="6"/>
  <c r="M22" i="18"/>
  <c r="H22" i="18"/>
  <c r="D22" i="18"/>
  <c r="G22" i="18"/>
  <c r="H123" i="6"/>
  <c r="G123" i="6"/>
  <c r="E123" i="6"/>
  <c r="H97" i="18"/>
  <c r="E97" i="18"/>
  <c r="G97" i="18"/>
  <c r="I260" i="20"/>
  <c r="G260" i="20"/>
  <c r="D487" i="17"/>
  <c r="F487" i="17"/>
  <c r="D488" i="17"/>
  <c r="F488" i="17"/>
  <c r="D256" i="20"/>
  <c r="D252" i="20"/>
  <c r="I256" i="20"/>
  <c r="D484" i="17"/>
  <c r="F484" i="17"/>
  <c r="M227" i="17"/>
  <c r="K214" i="17"/>
  <c r="I246" i="17"/>
  <c r="I243" i="17"/>
  <c r="I226" i="17"/>
  <c r="J246" i="17"/>
  <c r="H316" i="17"/>
  <c r="J316" i="17"/>
  <c r="J313" i="17"/>
  <c r="I406" i="17"/>
  <c r="J406" i="17"/>
  <c r="J403" i="17"/>
  <c r="J352" i="17"/>
  <c r="M432" i="17"/>
  <c r="J506" i="17"/>
  <c r="M506" i="17"/>
  <c r="M503" i="17"/>
  <c r="M472" i="17"/>
  <c r="K73" i="17"/>
  <c r="M73" i="17"/>
  <c r="M70" i="17"/>
  <c r="J610" i="17"/>
  <c r="J605" i="17" s="1"/>
  <c r="K610" i="17"/>
  <c r="K605" i="17" s="1"/>
  <c r="K515" i="17" s="1"/>
  <c r="M610" i="17"/>
  <c r="M605" i="17" s="1"/>
  <c r="M515" i="17" s="1"/>
  <c r="E507" i="17"/>
  <c r="E503" i="17" s="1"/>
  <c r="H507" i="17"/>
  <c r="H503" i="17" s="1"/>
  <c r="H472" i="17" s="1"/>
  <c r="L507" i="17"/>
  <c r="L503" i="17" s="1"/>
  <c r="E433" i="17"/>
  <c r="J433" i="17"/>
  <c r="J429" i="17" s="1"/>
  <c r="J411" i="17" s="1"/>
  <c r="M433" i="17"/>
  <c r="M429" i="17"/>
  <c r="M411" i="17"/>
  <c r="E348" i="17"/>
  <c r="E344" i="17"/>
  <c r="E333" i="17"/>
  <c r="I348" i="17"/>
  <c r="J348" i="17"/>
  <c r="J344" i="17"/>
  <c r="J333" i="17"/>
  <c r="K348" i="17"/>
  <c r="K344" i="17"/>
  <c r="K333" i="17"/>
  <c r="L348" i="17"/>
  <c r="L344" i="17"/>
  <c r="L333" i="17"/>
  <c r="H317" i="17"/>
  <c r="H313" i="17" s="1"/>
  <c r="H260" i="17" s="1"/>
  <c r="I317" i="17"/>
  <c r="I313" i="17" s="1"/>
  <c r="K317" i="17"/>
  <c r="K313" i="17" s="1"/>
  <c r="L317" i="17"/>
  <c r="M317" i="17"/>
  <c r="E247" i="17"/>
  <c r="J247" i="17"/>
  <c r="E215" i="17"/>
  <c r="H215" i="17"/>
  <c r="I215" i="17"/>
  <c r="I211" i="17" s="1"/>
  <c r="K215" i="17"/>
  <c r="L215" i="17"/>
  <c r="H35" i="6"/>
  <c r="G35" i="6"/>
  <c r="E35" i="6"/>
  <c r="I267" i="20"/>
  <c r="G267" i="20"/>
  <c r="G264" i="20"/>
  <c r="D267" i="20"/>
  <c r="F267" i="20"/>
  <c r="F264" i="20"/>
  <c r="G266" i="20"/>
  <c r="D266" i="20"/>
  <c r="F266" i="20"/>
  <c r="F263" i="20"/>
  <c r="G368" i="17"/>
  <c r="D368" i="17"/>
  <c r="F368" i="17"/>
  <c r="G367" i="17"/>
  <c r="D367" i="17"/>
  <c r="D355" i="17"/>
  <c r="L364" i="17"/>
  <c r="L85" i="18"/>
  <c r="L88" i="18"/>
  <c r="K247" i="17"/>
  <c r="D85" i="18"/>
  <c r="E85" i="18"/>
  <c r="G85" i="18"/>
  <c r="C135" i="20"/>
  <c r="F24" i="21"/>
  <c r="I24" i="21"/>
  <c r="J24" i="21"/>
  <c r="K24" i="21"/>
  <c r="L24" i="21"/>
  <c r="K101" i="20"/>
  <c r="M24" i="21"/>
  <c r="N24" i="21"/>
  <c r="M101" i="20"/>
  <c r="F26" i="22"/>
  <c r="I26" i="22"/>
  <c r="J26" i="22"/>
  <c r="I102" i="20"/>
  <c r="K26" i="22"/>
  <c r="J102" i="20"/>
  <c r="L26" i="22"/>
  <c r="M26" i="22"/>
  <c r="L102" i="20"/>
  <c r="N26" i="22"/>
  <c r="M102" i="20"/>
  <c r="H122" i="6"/>
  <c r="G122" i="6"/>
  <c r="E122" i="6"/>
  <c r="H96" i="18"/>
  <c r="E96" i="18"/>
  <c r="G96" i="18"/>
  <c r="H84" i="18"/>
  <c r="E84" i="18"/>
  <c r="G84" i="18"/>
  <c r="H32" i="14"/>
  <c r="G32" i="14"/>
  <c r="E32" i="14"/>
  <c r="E408" i="17"/>
  <c r="I408" i="17"/>
  <c r="I403" i="17" s="1"/>
  <c r="I352" i="17" s="1"/>
  <c r="H248" i="17"/>
  <c r="J248" i="17"/>
  <c r="K248" i="17"/>
  <c r="M248" i="17"/>
  <c r="E216" i="17"/>
  <c r="H216" i="17"/>
  <c r="J216" i="17"/>
  <c r="K216" i="17"/>
  <c r="K211" i="17"/>
  <c r="L216" i="17"/>
  <c r="M216" i="17"/>
  <c r="H23" i="18"/>
  <c r="G23" i="18"/>
  <c r="E23" i="18"/>
  <c r="M21" i="18"/>
  <c r="D21" i="18"/>
  <c r="E21" i="18"/>
  <c r="G21" i="18"/>
  <c r="M39" i="6"/>
  <c r="H39" i="6"/>
  <c r="D39" i="6"/>
  <c r="E39" i="6"/>
  <c r="L360" i="17"/>
  <c r="D114" i="18"/>
  <c r="D115" i="18"/>
  <c r="E115" i="18"/>
  <c r="G115" i="18"/>
  <c r="H139" i="6"/>
  <c r="E139" i="6"/>
  <c r="G139" i="6"/>
  <c r="L310" i="17"/>
  <c r="L306" i="17"/>
  <c r="G306" i="17"/>
  <c r="D306" i="17"/>
  <c r="F306" i="17"/>
  <c r="G305" i="17"/>
  <c r="D305" i="17"/>
  <c r="F305" i="17"/>
  <c r="L400" i="17"/>
  <c r="L372" i="17"/>
  <c r="G400" i="17"/>
  <c r="D400" i="17"/>
  <c r="F400" i="17"/>
  <c r="G399" i="17"/>
  <c r="D399" i="17"/>
  <c r="F399" i="17"/>
  <c r="H138" i="6"/>
  <c r="D138" i="6"/>
  <c r="E138" i="6"/>
  <c r="G138" i="6"/>
  <c r="D69" i="14"/>
  <c r="E69" i="14"/>
  <c r="F69" i="14"/>
  <c r="H179" i="6"/>
  <c r="G179" i="6"/>
  <c r="E179" i="6"/>
  <c r="H137" i="6"/>
  <c r="E137" i="6"/>
  <c r="G137" i="6"/>
  <c r="G302" i="17"/>
  <c r="D302" i="17"/>
  <c r="F302" i="17"/>
  <c r="G301" i="17"/>
  <c r="D301" i="17"/>
  <c r="F301" i="17"/>
  <c r="F545" i="17"/>
  <c r="G545" i="17"/>
  <c r="F546" i="17"/>
  <c r="G546" i="17"/>
  <c r="F549" i="17"/>
  <c r="G549" i="17"/>
  <c r="F550" i="17"/>
  <c r="G550" i="17"/>
  <c r="F553" i="17"/>
  <c r="G553" i="17"/>
  <c r="F554" i="17"/>
  <c r="G554" i="17"/>
  <c r="G590" i="17"/>
  <c r="D590" i="17"/>
  <c r="F590" i="17"/>
  <c r="G589" i="17"/>
  <c r="D589" i="17"/>
  <c r="F589" i="17"/>
  <c r="G586" i="17"/>
  <c r="D586" i="17"/>
  <c r="F586" i="17"/>
  <c r="G585" i="17"/>
  <c r="D585" i="17"/>
  <c r="F585" i="17"/>
  <c r="G582" i="17"/>
  <c r="D582" i="17"/>
  <c r="F582" i="17"/>
  <c r="G581" i="17"/>
  <c r="D581" i="17"/>
  <c r="F581" i="17"/>
  <c r="G396" i="17"/>
  <c r="D395" i="17"/>
  <c r="F395" i="17"/>
  <c r="D396" i="17"/>
  <c r="F396" i="17"/>
  <c r="G395" i="17"/>
  <c r="M132" i="6"/>
  <c r="H132" i="6"/>
  <c r="D132" i="6"/>
  <c r="G298" i="17"/>
  <c r="D298" i="17"/>
  <c r="F298" i="17"/>
  <c r="G297" i="17"/>
  <c r="D297" i="17"/>
  <c r="F297" i="17"/>
  <c r="D426" i="17"/>
  <c r="F426" i="17"/>
  <c r="D425" i="17"/>
  <c r="D422" i="17"/>
  <c r="D421" i="17"/>
  <c r="D418" i="17" s="1"/>
  <c r="G426" i="17"/>
  <c r="G425" i="17"/>
  <c r="H122" i="18"/>
  <c r="E122" i="18"/>
  <c r="G122" i="18"/>
  <c r="D49" i="14"/>
  <c r="G49" i="14"/>
  <c r="H48" i="14"/>
  <c r="G48" i="14"/>
  <c r="E48" i="14"/>
  <c r="H231" i="6"/>
  <c r="G231" i="6"/>
  <c r="E231" i="6"/>
  <c r="H230" i="6"/>
  <c r="G230" i="6"/>
  <c r="E230" i="6"/>
  <c r="H130" i="6"/>
  <c r="G130" i="6"/>
  <c r="E130" i="6"/>
  <c r="D129" i="6"/>
  <c r="E129" i="6"/>
  <c r="F129" i="6"/>
  <c r="G129" i="6"/>
  <c r="H136" i="6"/>
  <c r="E136" i="6"/>
  <c r="G136" i="6"/>
  <c r="H135" i="6"/>
  <c r="E135" i="6"/>
  <c r="G135" i="6"/>
  <c r="D133" i="6"/>
  <c r="G133" i="6"/>
  <c r="D185" i="6"/>
  <c r="G185" i="6"/>
  <c r="D182" i="6"/>
  <c r="G182" i="6"/>
  <c r="I145" i="18"/>
  <c r="I153" i="18"/>
  <c r="H610" i="17"/>
  <c r="H605" i="17" s="1"/>
  <c r="H515" i="17" s="1"/>
  <c r="D145" i="18"/>
  <c r="D153" i="18"/>
  <c r="C610" i="17"/>
  <c r="H225" i="6"/>
  <c r="G225" i="6"/>
  <c r="E225" i="6"/>
  <c r="H229" i="6"/>
  <c r="G229" i="6"/>
  <c r="E229" i="6"/>
  <c r="H183" i="6"/>
  <c r="G183" i="6"/>
  <c r="E183" i="6"/>
  <c r="H228" i="6"/>
  <c r="G228" i="6"/>
  <c r="H42" i="6"/>
  <c r="G42" i="6"/>
  <c r="E42" i="6"/>
  <c r="H112" i="18"/>
  <c r="E112" i="18"/>
  <c r="G112" i="18"/>
  <c r="D181" i="6"/>
  <c r="E181" i="6"/>
  <c r="H20" i="18"/>
  <c r="E20" i="18"/>
  <c r="G20" i="18"/>
  <c r="H125" i="6"/>
  <c r="E125" i="6"/>
  <c r="G125" i="6"/>
  <c r="E228" i="6"/>
  <c r="F127" i="6"/>
  <c r="D127" i="6"/>
  <c r="E127" i="6"/>
  <c r="H227" i="6"/>
  <c r="G227" i="6"/>
  <c r="E227" i="6"/>
  <c r="D131" i="6"/>
  <c r="E131" i="6"/>
  <c r="F128" i="6"/>
  <c r="D128" i="6"/>
  <c r="E128" i="6"/>
  <c r="D46" i="14"/>
  <c r="G578" i="17"/>
  <c r="D578" i="17"/>
  <c r="F578" i="17"/>
  <c r="G577" i="17"/>
  <c r="D577" i="17"/>
  <c r="F577" i="17"/>
  <c r="H41" i="6"/>
  <c r="G41" i="6"/>
  <c r="E41" i="6"/>
  <c r="H40" i="6"/>
  <c r="E40" i="6"/>
  <c r="G40" i="6"/>
  <c r="H178" i="6"/>
  <c r="G178" i="6"/>
  <c r="E178" i="6"/>
  <c r="E360" i="17"/>
  <c r="E356" i="17"/>
  <c r="E353" i="17"/>
  <c r="E359" i="17"/>
  <c r="E355" i="17"/>
  <c r="F359" i="17"/>
  <c r="D193" i="6"/>
  <c r="E193" i="6"/>
  <c r="F193" i="6"/>
  <c r="H177" i="6"/>
  <c r="G177" i="6"/>
  <c r="E177" i="6"/>
  <c r="H213" i="6"/>
  <c r="G213" i="6"/>
  <c r="E213" i="6"/>
  <c r="H209" i="6"/>
  <c r="G209" i="6"/>
  <c r="E209" i="6"/>
  <c r="H208" i="6"/>
  <c r="G208" i="6"/>
  <c r="E208" i="6"/>
  <c r="H207" i="6"/>
  <c r="G207" i="6"/>
  <c r="H138" i="18"/>
  <c r="E138" i="18"/>
  <c r="G138" i="18"/>
  <c r="D495" i="17"/>
  <c r="D137" i="18"/>
  <c r="E251" i="20"/>
  <c r="H251" i="20"/>
  <c r="I251" i="20"/>
  <c r="J251" i="20"/>
  <c r="K251" i="20"/>
  <c r="L251" i="20"/>
  <c r="M251" i="20"/>
  <c r="E252" i="20"/>
  <c r="H252" i="20"/>
  <c r="J252" i="20"/>
  <c r="K252" i="20"/>
  <c r="L252" i="20"/>
  <c r="M252" i="20"/>
  <c r="C252" i="20"/>
  <c r="C251" i="20"/>
  <c r="D260" i="20"/>
  <c r="F260" i="20"/>
  <c r="G259" i="20"/>
  <c r="D259" i="20"/>
  <c r="J487" i="17"/>
  <c r="J488" i="17"/>
  <c r="G488" i="17"/>
  <c r="K136" i="18"/>
  <c r="K139" i="18"/>
  <c r="H136" i="18"/>
  <c r="D136" i="18"/>
  <c r="E136" i="18"/>
  <c r="G136" i="18"/>
  <c r="G255" i="20"/>
  <c r="D255" i="20"/>
  <c r="J483" i="17"/>
  <c r="J484" i="17"/>
  <c r="J476" i="17"/>
  <c r="J473" i="17"/>
  <c r="J475" i="17"/>
  <c r="F483" i="17"/>
  <c r="E480" i="17"/>
  <c r="E476" i="17"/>
  <c r="E473" i="17"/>
  <c r="E479" i="17"/>
  <c r="E475" i="17"/>
  <c r="E472" i="17" s="1"/>
  <c r="G500" i="17"/>
  <c r="D500" i="17"/>
  <c r="F500" i="17"/>
  <c r="D499" i="17"/>
  <c r="F499" i="17"/>
  <c r="D205" i="6"/>
  <c r="E205" i="6"/>
  <c r="H205" i="6"/>
  <c r="H204" i="6"/>
  <c r="G204" i="6"/>
  <c r="E204" i="6"/>
  <c r="H176" i="6"/>
  <c r="G176" i="6"/>
  <c r="E176" i="6"/>
  <c r="H37" i="6"/>
  <c r="G37" i="6"/>
  <c r="E37" i="6"/>
  <c r="H19" i="18"/>
  <c r="E19" i="18"/>
  <c r="G19" i="18"/>
  <c r="D174" i="6"/>
  <c r="E174" i="6"/>
  <c r="D172" i="6"/>
  <c r="E172" i="6"/>
  <c r="D170" i="6"/>
  <c r="E170" i="6"/>
  <c r="F170" i="6"/>
  <c r="D169" i="6"/>
  <c r="E169" i="6"/>
  <c r="D168" i="6"/>
  <c r="G168" i="6"/>
  <c r="D167" i="6"/>
  <c r="E167" i="6"/>
  <c r="D165" i="6"/>
  <c r="G165" i="6"/>
  <c r="D164" i="6"/>
  <c r="G164" i="6"/>
  <c r="D163" i="6"/>
  <c r="G163" i="6"/>
  <c r="D162" i="6"/>
  <c r="G162" i="6"/>
  <c r="D161" i="6"/>
  <c r="G161" i="6"/>
  <c r="D160" i="6"/>
  <c r="G160" i="6"/>
  <c r="D159" i="6"/>
  <c r="E159" i="6"/>
  <c r="D156" i="6"/>
  <c r="E156" i="6"/>
  <c r="F126" i="6"/>
  <c r="D126" i="6"/>
  <c r="E126" i="6"/>
  <c r="M126" i="6"/>
  <c r="H126" i="6"/>
  <c r="E207" i="6"/>
  <c r="H124" i="6"/>
  <c r="G124" i="6"/>
  <c r="E124" i="6"/>
  <c r="D65" i="6"/>
  <c r="E65" i="6"/>
  <c r="F65" i="6"/>
  <c r="M224" i="6"/>
  <c r="H224" i="6"/>
  <c r="D224" i="6"/>
  <c r="E224" i="6"/>
  <c r="H87" i="18"/>
  <c r="E87" i="18"/>
  <c r="G87" i="18"/>
  <c r="H86" i="18"/>
  <c r="E86" i="18"/>
  <c r="G86" i="18"/>
  <c r="H35" i="14"/>
  <c r="G35" i="14"/>
  <c r="E35" i="14"/>
  <c r="H34" i="14"/>
  <c r="G34" i="14"/>
  <c r="E34" i="14"/>
  <c r="L118" i="17"/>
  <c r="L106" i="17"/>
  <c r="G119" i="17"/>
  <c r="E119" i="17"/>
  <c r="D119" i="17"/>
  <c r="D107" i="17"/>
  <c r="E118" i="17"/>
  <c r="F118" i="17"/>
  <c r="I83" i="20"/>
  <c r="H148" i="18"/>
  <c r="E148" i="18"/>
  <c r="G148" i="18"/>
  <c r="H146" i="18"/>
  <c r="E146" i="18"/>
  <c r="G146" i="18"/>
  <c r="H46" i="18"/>
  <c r="E46" i="18"/>
  <c r="G46" i="18"/>
  <c r="D98" i="6"/>
  <c r="G98" i="6"/>
  <c r="D97" i="6"/>
  <c r="E97" i="6"/>
  <c r="D96" i="6"/>
  <c r="E96" i="6"/>
  <c r="H98" i="6"/>
  <c r="H97" i="6"/>
  <c r="H96" i="6"/>
  <c r="D95" i="6"/>
  <c r="G95" i="6"/>
  <c r="H95" i="6"/>
  <c r="F94" i="6"/>
  <c r="D94" i="6"/>
  <c r="E94" i="6"/>
  <c r="H94" i="6"/>
  <c r="D93" i="6"/>
  <c r="E93" i="6"/>
  <c r="F93" i="6"/>
  <c r="H93" i="6"/>
  <c r="D92" i="6"/>
  <c r="H92" i="6"/>
  <c r="F92" i="6"/>
  <c r="G92" i="6" s="1"/>
  <c r="H36" i="6"/>
  <c r="G36" i="6"/>
  <c r="M34" i="6"/>
  <c r="H34" i="6"/>
  <c r="D34" i="6"/>
  <c r="G34" i="6"/>
  <c r="H33" i="6"/>
  <c r="G33" i="6"/>
  <c r="E33" i="6"/>
  <c r="D31" i="6"/>
  <c r="E31" i="6"/>
  <c r="H44" i="14"/>
  <c r="E44" i="14"/>
  <c r="G44" i="14"/>
  <c r="H94" i="18"/>
  <c r="E94" i="18"/>
  <c r="G94" i="18"/>
  <c r="D375" i="17"/>
  <c r="E375" i="17"/>
  <c r="E371" i="17"/>
  <c r="C375" i="17"/>
  <c r="C371" i="17"/>
  <c r="H34" i="18"/>
  <c r="E34" i="18"/>
  <c r="G34" i="18"/>
  <c r="F33" i="18"/>
  <c r="F35" i="18"/>
  <c r="E97" i="17"/>
  <c r="E93" i="17"/>
  <c r="E84" i="17"/>
  <c r="D33" i="18"/>
  <c r="E33" i="18"/>
  <c r="H32" i="18"/>
  <c r="E32" i="18"/>
  <c r="G32" i="18"/>
  <c r="H18" i="18"/>
  <c r="E18" i="18"/>
  <c r="G18" i="18"/>
  <c r="H33" i="21"/>
  <c r="D71" i="20"/>
  <c r="H71" i="20"/>
  <c r="J71" i="20"/>
  <c r="K71" i="20"/>
  <c r="L71" i="20"/>
  <c r="M71" i="20"/>
  <c r="H72" i="20"/>
  <c r="J72" i="20"/>
  <c r="K72" i="20"/>
  <c r="L72" i="20"/>
  <c r="M72" i="20"/>
  <c r="C72" i="20"/>
  <c r="C71" i="20"/>
  <c r="I289" i="20"/>
  <c r="G289" i="20"/>
  <c r="E300" i="20"/>
  <c r="H300" i="20"/>
  <c r="I300" i="20"/>
  <c r="J300" i="20"/>
  <c r="K300" i="20"/>
  <c r="L300" i="20"/>
  <c r="M300" i="20"/>
  <c r="E301" i="20"/>
  <c r="H301" i="20"/>
  <c r="I301" i="20"/>
  <c r="J301" i="20"/>
  <c r="K301" i="20"/>
  <c r="L301" i="20"/>
  <c r="M301" i="20"/>
  <c r="C301" i="20"/>
  <c r="C300" i="20"/>
  <c r="D285" i="20"/>
  <c r="H285" i="20"/>
  <c r="J285" i="20"/>
  <c r="K285" i="20"/>
  <c r="L285" i="20"/>
  <c r="M285" i="20"/>
  <c r="D286" i="20"/>
  <c r="H286" i="20"/>
  <c r="H283" i="20"/>
  <c r="J286" i="20"/>
  <c r="J283" i="20" s="1"/>
  <c r="K286" i="20"/>
  <c r="L286" i="20"/>
  <c r="M286" i="20"/>
  <c r="M283" i="20"/>
  <c r="C286" i="20"/>
  <c r="C283" i="20" s="1"/>
  <c r="C285" i="20"/>
  <c r="E263" i="20"/>
  <c r="H263" i="20"/>
  <c r="I263" i="20"/>
  <c r="J263" i="20"/>
  <c r="K263" i="20"/>
  <c r="L263" i="20"/>
  <c r="M263" i="20"/>
  <c r="E264" i="20"/>
  <c r="H264" i="20"/>
  <c r="I264" i="20"/>
  <c r="J264" i="20"/>
  <c r="K264" i="20"/>
  <c r="L264" i="20"/>
  <c r="M264" i="20"/>
  <c r="C264" i="20"/>
  <c r="C249" i="20" s="1"/>
  <c r="C263" i="20"/>
  <c r="F238" i="20"/>
  <c r="G238" i="20"/>
  <c r="F239" i="20"/>
  <c r="G239" i="20"/>
  <c r="D178" i="20"/>
  <c r="E178" i="20"/>
  <c r="H178" i="20"/>
  <c r="I178" i="20"/>
  <c r="J178" i="20"/>
  <c r="K178" i="20"/>
  <c r="L178" i="20"/>
  <c r="M178" i="20"/>
  <c r="D179" i="20"/>
  <c r="E179" i="20"/>
  <c r="H179" i="20"/>
  <c r="I179" i="20"/>
  <c r="J179" i="20"/>
  <c r="K179" i="20"/>
  <c r="L179" i="20"/>
  <c r="M179" i="20"/>
  <c r="C179" i="20"/>
  <c r="C178" i="20"/>
  <c r="D185" i="20"/>
  <c r="E185" i="20"/>
  <c r="H185" i="20"/>
  <c r="I185" i="20"/>
  <c r="J185" i="20"/>
  <c r="K185" i="20"/>
  <c r="L185" i="20"/>
  <c r="M185" i="20"/>
  <c r="D186" i="20"/>
  <c r="E186" i="20"/>
  <c r="E176" i="20"/>
  <c r="H186" i="20"/>
  <c r="H176" i="20" s="1"/>
  <c r="I186" i="20"/>
  <c r="I176" i="20"/>
  <c r="J186" i="20"/>
  <c r="J176" i="20"/>
  <c r="K186" i="20"/>
  <c r="K176" i="20"/>
  <c r="L186" i="20"/>
  <c r="L176" i="20" s="1"/>
  <c r="M186" i="20"/>
  <c r="C186" i="20"/>
  <c r="C185" i="20"/>
  <c r="D197" i="20"/>
  <c r="E197" i="20"/>
  <c r="F197" i="20"/>
  <c r="G197" i="20"/>
  <c r="H197" i="20"/>
  <c r="I197" i="20"/>
  <c r="J197" i="20"/>
  <c r="K197" i="20"/>
  <c r="L197" i="20"/>
  <c r="M197" i="20"/>
  <c r="C197" i="20"/>
  <c r="D152" i="20"/>
  <c r="F152" i="20"/>
  <c r="G152" i="20"/>
  <c r="L152" i="20"/>
  <c r="C152" i="20"/>
  <c r="E141" i="20"/>
  <c r="H141" i="20"/>
  <c r="I141" i="20"/>
  <c r="J141" i="20"/>
  <c r="K141" i="20"/>
  <c r="L141" i="20"/>
  <c r="M141" i="20"/>
  <c r="E142" i="20"/>
  <c r="H142" i="20"/>
  <c r="I142" i="20"/>
  <c r="J142" i="20"/>
  <c r="K142" i="20"/>
  <c r="L142" i="20"/>
  <c r="M142" i="20"/>
  <c r="C142" i="20"/>
  <c r="C141" i="20"/>
  <c r="E36" i="6"/>
  <c r="D128" i="20"/>
  <c r="F128" i="20"/>
  <c r="G128" i="20"/>
  <c r="J128" i="20"/>
  <c r="K128" i="20"/>
  <c r="L128" i="20"/>
  <c r="C128" i="20"/>
  <c r="E116" i="20"/>
  <c r="H116" i="20"/>
  <c r="I116" i="20"/>
  <c r="J116" i="20"/>
  <c r="K116" i="20"/>
  <c r="L116" i="20"/>
  <c r="M116" i="20"/>
  <c r="E117" i="20"/>
  <c r="H117" i="20"/>
  <c r="H111" i="20"/>
  <c r="I117" i="20"/>
  <c r="I111" i="20"/>
  <c r="J117" i="20"/>
  <c r="J111" i="20"/>
  <c r="K117" i="20"/>
  <c r="K111" i="20"/>
  <c r="L117" i="20"/>
  <c r="L111" i="20"/>
  <c r="M117" i="20"/>
  <c r="M111" i="20"/>
  <c r="C117" i="20"/>
  <c r="C111" i="20"/>
  <c r="C116" i="20"/>
  <c r="D103" i="20"/>
  <c r="E103" i="20"/>
  <c r="F103" i="20"/>
  <c r="G103" i="20"/>
  <c r="L103" i="20"/>
  <c r="M103" i="20"/>
  <c r="C103" i="20"/>
  <c r="E101" i="20"/>
  <c r="E90" i="20"/>
  <c r="H90" i="20"/>
  <c r="I90" i="20"/>
  <c r="J90" i="20"/>
  <c r="K90" i="20"/>
  <c r="L90" i="20"/>
  <c r="M90" i="20"/>
  <c r="E91" i="20"/>
  <c r="H91" i="20"/>
  <c r="I91" i="20"/>
  <c r="J91" i="20"/>
  <c r="K91" i="20"/>
  <c r="L91" i="20"/>
  <c r="M91" i="20"/>
  <c r="M69" i="20"/>
  <c r="C91" i="20"/>
  <c r="C90" i="20"/>
  <c r="H78" i="22"/>
  <c r="H79" i="22"/>
  <c r="G335" i="20"/>
  <c r="G331" i="20"/>
  <c r="D47" i="23"/>
  <c r="C312" i="20"/>
  <c r="F47" i="23"/>
  <c r="E312" i="20"/>
  <c r="D110" i="6"/>
  <c r="G110" i="6"/>
  <c r="H152" i="18"/>
  <c r="E152" i="18"/>
  <c r="G152" i="18"/>
  <c r="I297" i="20"/>
  <c r="G297" i="20"/>
  <c r="I296" i="20"/>
  <c r="G296" i="20"/>
  <c r="J530" i="17"/>
  <c r="G530" i="17"/>
  <c r="I293" i="20"/>
  <c r="G293" i="20"/>
  <c r="I292" i="20"/>
  <c r="J526" i="17"/>
  <c r="G526" i="17"/>
  <c r="I288" i="20"/>
  <c r="J522" i="17"/>
  <c r="G522" i="17"/>
  <c r="J519" i="17"/>
  <c r="J516" i="17"/>
  <c r="I233" i="20"/>
  <c r="I229" i="20"/>
  <c r="I226" i="20"/>
  <c r="I232" i="20"/>
  <c r="I228" i="20"/>
  <c r="I139" i="20"/>
  <c r="I136" i="20"/>
  <c r="I133" i="20"/>
  <c r="I138" i="20"/>
  <c r="I135" i="20"/>
  <c r="J267" i="17"/>
  <c r="J264" i="17"/>
  <c r="J261" i="17"/>
  <c r="J263" i="17"/>
  <c r="J260" i="17" s="1"/>
  <c r="K70" i="18"/>
  <c r="H70" i="18"/>
  <c r="K69" i="18"/>
  <c r="H69" i="18"/>
  <c r="K70" i="6"/>
  <c r="H70" i="6"/>
  <c r="K69" i="6"/>
  <c r="H69" i="6"/>
  <c r="I80" i="20"/>
  <c r="G80" i="20"/>
  <c r="I79" i="20"/>
  <c r="G79" i="20"/>
  <c r="I76" i="20"/>
  <c r="G76" i="20"/>
  <c r="I75" i="20"/>
  <c r="G75" i="20"/>
  <c r="J115" i="17"/>
  <c r="G115" i="17"/>
  <c r="G114" i="17"/>
  <c r="J111" i="17"/>
  <c r="G111" i="17"/>
  <c r="J106" i="17"/>
  <c r="E87" i="20"/>
  <c r="F87" i="20"/>
  <c r="E88" i="20"/>
  <c r="F88" i="20"/>
  <c r="H23" i="21"/>
  <c r="H22" i="21"/>
  <c r="E84" i="20"/>
  <c r="E83" i="20"/>
  <c r="F83" i="20"/>
  <c r="E80" i="20"/>
  <c r="F80" i="20"/>
  <c r="E79" i="20"/>
  <c r="F79" i="20"/>
  <c r="E76" i="20"/>
  <c r="F76" i="20"/>
  <c r="E75" i="20"/>
  <c r="F75" i="20"/>
  <c r="D34" i="20"/>
  <c r="E34" i="20"/>
  <c r="H34" i="20"/>
  <c r="I34" i="20"/>
  <c r="J34" i="20"/>
  <c r="K34" i="20"/>
  <c r="L34" i="20"/>
  <c r="M34" i="20"/>
  <c r="D35" i="20"/>
  <c r="D29" i="20"/>
  <c r="E35" i="20"/>
  <c r="H35" i="20"/>
  <c r="H29" i="20"/>
  <c r="I35" i="20"/>
  <c r="J35" i="20"/>
  <c r="J29" i="20"/>
  <c r="K35" i="20"/>
  <c r="L35" i="20"/>
  <c r="L29" i="20"/>
  <c r="M35" i="20"/>
  <c r="C35" i="20"/>
  <c r="C29" i="20"/>
  <c r="C34" i="20"/>
  <c r="G88" i="20"/>
  <c r="G87" i="20"/>
  <c r="G84" i="20"/>
  <c r="D84" i="20"/>
  <c r="D72" i="20"/>
  <c r="N47" i="23"/>
  <c r="M312" i="20"/>
  <c r="L47" i="23"/>
  <c r="K312" i="20"/>
  <c r="K47" i="23"/>
  <c r="J312" i="20"/>
  <c r="J47" i="23"/>
  <c r="I312" i="20"/>
  <c r="I47" i="23"/>
  <c r="H312" i="20"/>
  <c r="M47" i="23"/>
  <c r="L312" i="20"/>
  <c r="H46" i="23"/>
  <c r="E46" i="23"/>
  <c r="E47" i="23"/>
  <c r="D312" i="20"/>
  <c r="H41" i="23"/>
  <c r="G41" i="23"/>
  <c r="E41" i="23"/>
  <c r="N37" i="23"/>
  <c r="M172" i="20"/>
  <c r="M37" i="23"/>
  <c r="L172" i="20"/>
  <c r="L37" i="23"/>
  <c r="K172" i="20"/>
  <c r="K37" i="23"/>
  <c r="J172" i="20"/>
  <c r="J37" i="23"/>
  <c r="I172" i="20"/>
  <c r="I37" i="23"/>
  <c r="H172" i="20"/>
  <c r="F37" i="23"/>
  <c r="E172" i="20"/>
  <c r="D37" i="23"/>
  <c r="C172" i="20"/>
  <c r="H36" i="23"/>
  <c r="H37" i="23"/>
  <c r="G172" i="20"/>
  <c r="E36" i="23"/>
  <c r="E37" i="23"/>
  <c r="D172" i="20"/>
  <c r="N32" i="23"/>
  <c r="M152" i="20"/>
  <c r="L32" i="23"/>
  <c r="K152" i="20"/>
  <c r="K32" i="23"/>
  <c r="J152" i="20"/>
  <c r="J32" i="23"/>
  <c r="I152" i="20"/>
  <c r="I32" i="23"/>
  <c r="H152" i="20"/>
  <c r="F32" i="23"/>
  <c r="E152" i="20"/>
  <c r="H31" i="23"/>
  <c r="E31" i="23"/>
  <c r="N27" i="23"/>
  <c r="M128" i="20"/>
  <c r="J27" i="23"/>
  <c r="I128" i="20"/>
  <c r="I27" i="23"/>
  <c r="H128" i="20"/>
  <c r="F27" i="23"/>
  <c r="E128" i="20"/>
  <c r="H26" i="23"/>
  <c r="E26" i="23"/>
  <c r="G26" i="23"/>
  <c r="L22" i="23"/>
  <c r="K103" i="20"/>
  <c r="K22" i="23"/>
  <c r="J103" i="20"/>
  <c r="J22" i="23"/>
  <c r="I103" i="20"/>
  <c r="I22" i="23"/>
  <c r="H103" i="20"/>
  <c r="H21" i="23"/>
  <c r="E21" i="23"/>
  <c r="G21" i="23"/>
  <c r="N17" i="23"/>
  <c r="M17" i="23"/>
  <c r="L17" i="23"/>
  <c r="K17" i="23"/>
  <c r="J17" i="23"/>
  <c r="I17" i="23"/>
  <c r="H17" i="23"/>
  <c r="G17" i="23"/>
  <c r="F17" i="23"/>
  <c r="E17" i="23"/>
  <c r="D17" i="23"/>
  <c r="N12" i="23"/>
  <c r="M12" i="23"/>
  <c r="L12" i="23"/>
  <c r="K12" i="23"/>
  <c r="J12" i="23"/>
  <c r="I12" i="23"/>
  <c r="F12" i="23"/>
  <c r="D12" i="23"/>
  <c r="H11" i="23"/>
  <c r="H12" i="23"/>
  <c r="E11" i="23"/>
  <c r="E12" i="23"/>
  <c r="N79" i="22"/>
  <c r="M335" i="20"/>
  <c r="M331" i="20"/>
  <c r="M322" i="20"/>
  <c r="M79" i="22"/>
  <c r="L335" i="20"/>
  <c r="L331" i="20"/>
  <c r="L322" i="20"/>
  <c r="L79" i="22"/>
  <c r="K335" i="20"/>
  <c r="K331" i="20"/>
  <c r="K322" i="20"/>
  <c r="K79" i="22"/>
  <c r="J335" i="20"/>
  <c r="J331" i="20"/>
  <c r="J322" i="20"/>
  <c r="J79" i="22"/>
  <c r="I335" i="20"/>
  <c r="I331" i="20"/>
  <c r="I322" i="20"/>
  <c r="I79" i="22"/>
  <c r="H335" i="20"/>
  <c r="H331" i="20"/>
  <c r="H322" i="20"/>
  <c r="F79" i="22"/>
  <c r="E335" i="20"/>
  <c r="E331" i="20"/>
  <c r="E322" i="20"/>
  <c r="D79" i="22"/>
  <c r="C335" i="20"/>
  <c r="C331" i="20"/>
  <c r="C322" i="20"/>
  <c r="E78" i="22"/>
  <c r="E79" i="22"/>
  <c r="D335" i="20"/>
  <c r="D331" i="20"/>
  <c r="D322" i="20"/>
  <c r="N74" i="22"/>
  <c r="M311" i="20"/>
  <c r="M74" i="22"/>
  <c r="L311" i="20"/>
  <c r="L74" i="22"/>
  <c r="K311" i="20"/>
  <c r="J74" i="22"/>
  <c r="I311" i="20"/>
  <c r="I74" i="22"/>
  <c r="H311" i="20"/>
  <c r="F74" i="22"/>
  <c r="E311" i="20"/>
  <c r="K74" i="22"/>
  <c r="J311" i="20"/>
  <c r="H73" i="22"/>
  <c r="E73" i="22"/>
  <c r="G73" i="22"/>
  <c r="H72" i="22"/>
  <c r="E72" i="22"/>
  <c r="G72" i="22"/>
  <c r="H71" i="22"/>
  <c r="E71" i="22"/>
  <c r="G71" i="22"/>
  <c r="N64" i="22"/>
  <c r="M273" i="20"/>
  <c r="L64" i="22"/>
  <c r="K273" i="20"/>
  <c r="K64" i="22"/>
  <c r="J273" i="20"/>
  <c r="J64" i="22"/>
  <c r="I273" i="20"/>
  <c r="I64" i="22"/>
  <c r="H273" i="20"/>
  <c r="F64" i="22"/>
  <c r="E273" i="20"/>
  <c r="M64" i="22"/>
  <c r="L273" i="20"/>
  <c r="E63" i="22"/>
  <c r="N59" i="22"/>
  <c r="M245" i="20"/>
  <c r="M59" i="22"/>
  <c r="L245" i="20"/>
  <c r="L59" i="22"/>
  <c r="K245" i="20"/>
  <c r="K59" i="22"/>
  <c r="J245" i="20"/>
  <c r="J59" i="22"/>
  <c r="I245" i="20"/>
  <c r="I59" i="22"/>
  <c r="H245" i="20"/>
  <c r="F59" i="22"/>
  <c r="E245" i="20"/>
  <c r="D59" i="22"/>
  <c r="C245" i="20"/>
  <c r="H58" i="22"/>
  <c r="H59" i="22"/>
  <c r="G245" i="20"/>
  <c r="E58" i="22"/>
  <c r="G58" i="22"/>
  <c r="G59" i="22"/>
  <c r="F245" i="20"/>
  <c r="N54" i="22"/>
  <c r="M220" i="20"/>
  <c r="M54" i="22"/>
  <c r="L220" i="20"/>
  <c r="L54" i="22"/>
  <c r="K220" i="20"/>
  <c r="K54" i="22"/>
  <c r="J220" i="20"/>
  <c r="J54" i="22"/>
  <c r="I220" i="20"/>
  <c r="I54" i="22"/>
  <c r="H220" i="20"/>
  <c r="F54" i="22"/>
  <c r="E220" i="20"/>
  <c r="D54" i="22"/>
  <c r="C220" i="20"/>
  <c r="H53" i="22"/>
  <c r="E53" i="22"/>
  <c r="N49" i="22"/>
  <c r="M196" i="20"/>
  <c r="L49" i="22"/>
  <c r="K196" i="20"/>
  <c r="K49" i="22"/>
  <c r="J196" i="20"/>
  <c r="J49" i="22"/>
  <c r="I196" i="20"/>
  <c r="I49" i="22"/>
  <c r="H196" i="20"/>
  <c r="H48" i="22"/>
  <c r="E48" i="22"/>
  <c r="G48" i="22"/>
  <c r="G49" i="22"/>
  <c r="F196" i="20"/>
  <c r="F49" i="22"/>
  <c r="E196" i="20"/>
  <c r="D49" i="22"/>
  <c r="C196" i="20"/>
  <c r="N44" i="22"/>
  <c r="M171" i="20"/>
  <c r="M44" i="22"/>
  <c r="L171" i="20"/>
  <c r="L44" i="22"/>
  <c r="K171" i="20"/>
  <c r="K44" i="22"/>
  <c r="J171" i="20"/>
  <c r="J44" i="22"/>
  <c r="I171" i="20"/>
  <c r="I44" i="22"/>
  <c r="H171" i="20"/>
  <c r="F44" i="22"/>
  <c r="E171" i="20"/>
  <c r="D44" i="22"/>
  <c r="C171" i="20"/>
  <c r="H43" i="22"/>
  <c r="H44" i="22"/>
  <c r="G171" i="20"/>
  <c r="E43" i="22"/>
  <c r="G43" i="22"/>
  <c r="G44" i="22"/>
  <c r="F171" i="20"/>
  <c r="N40" i="22"/>
  <c r="M151" i="20"/>
  <c r="M40" i="22"/>
  <c r="L151" i="20"/>
  <c r="K40" i="22"/>
  <c r="J151" i="20"/>
  <c r="J40" i="22"/>
  <c r="I151" i="20"/>
  <c r="I40" i="22"/>
  <c r="H151" i="20"/>
  <c r="F40" i="22"/>
  <c r="E151" i="20"/>
  <c r="H39" i="22"/>
  <c r="E39" i="22"/>
  <c r="G39" i="22"/>
  <c r="G40" i="22"/>
  <c r="F151" i="20"/>
  <c r="N33" i="22"/>
  <c r="M127" i="20"/>
  <c r="M33" i="22"/>
  <c r="L127" i="20"/>
  <c r="L33" i="22"/>
  <c r="K127" i="20"/>
  <c r="K33" i="22"/>
  <c r="J127" i="20"/>
  <c r="J33" i="22"/>
  <c r="I127" i="20"/>
  <c r="I33" i="22"/>
  <c r="H127" i="20"/>
  <c r="F33" i="22"/>
  <c r="E127" i="20"/>
  <c r="D33" i="22"/>
  <c r="C127" i="20"/>
  <c r="H32" i="22"/>
  <c r="E32" i="22"/>
  <c r="G32" i="22"/>
  <c r="G33" i="22"/>
  <c r="F127" i="20"/>
  <c r="K102" i="20"/>
  <c r="H102" i="20"/>
  <c r="E102" i="20"/>
  <c r="E98" i="20" s="1"/>
  <c r="D26" i="22"/>
  <c r="C102" i="20"/>
  <c r="H25" i="22"/>
  <c r="E25" i="22"/>
  <c r="H24" i="22"/>
  <c r="E24" i="22"/>
  <c r="G24" i="22"/>
  <c r="H23" i="22"/>
  <c r="E23" i="22"/>
  <c r="G23" i="22"/>
  <c r="N20" i="22"/>
  <c r="M62" i="20"/>
  <c r="L20" i="22"/>
  <c r="K62" i="20"/>
  <c r="K20" i="22"/>
  <c r="J62" i="20"/>
  <c r="J20" i="22"/>
  <c r="I62" i="20"/>
  <c r="I20" i="22"/>
  <c r="H62" i="20"/>
  <c r="F20" i="22"/>
  <c r="E62" i="20"/>
  <c r="H19" i="22"/>
  <c r="H20" i="22"/>
  <c r="E19" i="22"/>
  <c r="G19" i="22"/>
  <c r="G20" i="22"/>
  <c r="F62" i="20"/>
  <c r="N15" i="22"/>
  <c r="M44" i="20"/>
  <c r="L15" i="22"/>
  <c r="K44" i="20"/>
  <c r="K15" i="22"/>
  <c r="J44" i="20"/>
  <c r="J15" i="22"/>
  <c r="I44" i="20"/>
  <c r="I15" i="22"/>
  <c r="H44" i="20"/>
  <c r="F15" i="22"/>
  <c r="E44" i="20"/>
  <c r="H14" i="22"/>
  <c r="E14" i="22"/>
  <c r="N64" i="21"/>
  <c r="M310" i="20"/>
  <c r="M306" i="20"/>
  <c r="L64" i="21"/>
  <c r="K310" i="20"/>
  <c r="K64" i="21"/>
  <c r="J310" i="20"/>
  <c r="J306" i="20"/>
  <c r="J64" i="21"/>
  <c r="I310" i="20"/>
  <c r="I64" i="21"/>
  <c r="H310" i="20"/>
  <c r="H63" i="21"/>
  <c r="G63" i="21"/>
  <c r="E63" i="21"/>
  <c r="E64" i="21"/>
  <c r="D310" i="20"/>
  <c r="N59" i="21"/>
  <c r="M272" i="20"/>
  <c r="M269" i="20"/>
  <c r="L59" i="21"/>
  <c r="K272" i="20"/>
  <c r="K269" i="20"/>
  <c r="K248" i="20"/>
  <c r="K59" i="21"/>
  <c r="J272" i="20"/>
  <c r="J59" i="21"/>
  <c r="I272" i="20"/>
  <c r="I59" i="21"/>
  <c r="H272" i="20"/>
  <c r="H269" i="20"/>
  <c r="F59" i="21"/>
  <c r="E272" i="20"/>
  <c r="H58" i="21"/>
  <c r="G58" i="21"/>
  <c r="E58" i="21"/>
  <c r="M59" i="21"/>
  <c r="L272" i="20"/>
  <c r="L269" i="20"/>
  <c r="L248" i="20"/>
  <c r="N54" i="21"/>
  <c r="M244" i="20"/>
  <c r="M241" i="20"/>
  <c r="M54" i="21"/>
  <c r="L244" i="20"/>
  <c r="L54" i="21"/>
  <c r="K244" i="20"/>
  <c r="K54" i="21"/>
  <c r="J244" i="20"/>
  <c r="J54" i="21"/>
  <c r="I244" i="20"/>
  <c r="I54" i="21"/>
  <c r="H244" i="20"/>
  <c r="F54" i="21"/>
  <c r="E244" i="20"/>
  <c r="D54" i="21"/>
  <c r="C244" i="20"/>
  <c r="H53" i="21"/>
  <c r="H54" i="21"/>
  <c r="G244" i="20"/>
  <c r="G241" i="20"/>
  <c r="G53" i="21"/>
  <c r="G54" i="21"/>
  <c r="F244" i="20"/>
  <c r="F241" i="20"/>
  <c r="E53" i="21"/>
  <c r="E54" i="21"/>
  <c r="D244" i="20"/>
  <c r="N49" i="21"/>
  <c r="M219" i="20"/>
  <c r="M216" i="20" s="1"/>
  <c r="L49" i="21"/>
  <c r="K219" i="20"/>
  <c r="K216" i="20"/>
  <c r="K49" i="21"/>
  <c r="J219" i="20"/>
  <c r="J216" i="20"/>
  <c r="J49" i="21"/>
  <c r="I219" i="20"/>
  <c r="I216" i="20"/>
  <c r="I49" i="21"/>
  <c r="H219" i="20"/>
  <c r="H216" i="20" s="1"/>
  <c r="H48" i="21"/>
  <c r="G48" i="21"/>
  <c r="E48" i="21"/>
  <c r="E49" i="21"/>
  <c r="D219" i="20"/>
  <c r="M49" i="21"/>
  <c r="L219" i="20"/>
  <c r="L216" i="20"/>
  <c r="F49" i="21"/>
  <c r="E219" i="20"/>
  <c r="N44" i="21"/>
  <c r="M195" i="20"/>
  <c r="M192" i="20"/>
  <c r="K44" i="21"/>
  <c r="J195" i="20"/>
  <c r="J192" i="20" s="1"/>
  <c r="J175" i="20" s="1"/>
  <c r="J44" i="21"/>
  <c r="I195" i="20"/>
  <c r="I44" i="21"/>
  <c r="H195" i="20"/>
  <c r="H192" i="20"/>
  <c r="H175" i="20"/>
  <c r="H43" i="21"/>
  <c r="G43" i="21"/>
  <c r="G44" i="21"/>
  <c r="F195" i="20"/>
  <c r="E43" i="21"/>
  <c r="N39" i="21"/>
  <c r="M170" i="20"/>
  <c r="M39" i="21"/>
  <c r="L170" i="20"/>
  <c r="L167" i="20"/>
  <c r="L39" i="21"/>
  <c r="K170" i="20"/>
  <c r="K167" i="20"/>
  <c r="K156" i="20"/>
  <c r="K39" i="21"/>
  <c r="J170" i="20"/>
  <c r="J39" i="21"/>
  <c r="I170" i="20"/>
  <c r="I39" i="21"/>
  <c r="H170" i="20"/>
  <c r="H167" i="20"/>
  <c r="H156" i="20"/>
  <c r="H39" i="21"/>
  <c r="G170" i="20"/>
  <c r="G39" i="21"/>
  <c r="F170" i="20"/>
  <c r="F39" i="21"/>
  <c r="E170" i="20"/>
  <c r="E39" i="21"/>
  <c r="D170" i="20"/>
  <c r="D39" i="21"/>
  <c r="C170" i="20"/>
  <c r="C167" i="20"/>
  <c r="N34" i="21"/>
  <c r="M150" i="20"/>
  <c r="M147" i="20"/>
  <c r="L34" i="21"/>
  <c r="K150" i="20"/>
  <c r="K34" i="21"/>
  <c r="J150" i="20"/>
  <c r="J34" i="21"/>
  <c r="I150" i="20"/>
  <c r="I34" i="21"/>
  <c r="H150" i="20"/>
  <c r="F34" i="21"/>
  <c r="E150" i="20"/>
  <c r="E147" i="20" s="1"/>
  <c r="G33" i="21"/>
  <c r="E33" i="21"/>
  <c r="N29" i="21"/>
  <c r="M126" i="20"/>
  <c r="M29" i="21"/>
  <c r="L126" i="20"/>
  <c r="L123" i="20" s="1"/>
  <c r="L110" i="20" s="1"/>
  <c r="K29" i="21"/>
  <c r="J126" i="20"/>
  <c r="J29" i="21"/>
  <c r="I126" i="20"/>
  <c r="I123" i="20"/>
  <c r="I110" i="20"/>
  <c r="I29" i="21"/>
  <c r="H126" i="20"/>
  <c r="D29" i="21"/>
  <c r="C126" i="20"/>
  <c r="H28" i="21"/>
  <c r="H29" i="21"/>
  <c r="G126" i="20"/>
  <c r="G28" i="21"/>
  <c r="E28" i="21"/>
  <c r="F29" i="21"/>
  <c r="E126" i="20"/>
  <c r="E123" i="20"/>
  <c r="E110" i="20"/>
  <c r="J101" i="20"/>
  <c r="J98" i="20" s="1"/>
  <c r="I101" i="20"/>
  <c r="I98" i="20"/>
  <c r="H101" i="20"/>
  <c r="G23" i="21"/>
  <c r="E23" i="21"/>
  <c r="G22" i="21"/>
  <c r="E22" i="21"/>
  <c r="H21" i="21"/>
  <c r="H24" i="21"/>
  <c r="G101" i="20"/>
  <c r="G21" i="21"/>
  <c r="G24" i="21" s="1"/>
  <c r="F101" i="20" s="1"/>
  <c r="E21" i="21"/>
  <c r="E24" i="21" s="1"/>
  <c r="D101" i="20" s="1"/>
  <c r="N17" i="21"/>
  <c r="M17" i="21"/>
  <c r="L17" i="21"/>
  <c r="K17" i="21"/>
  <c r="J17" i="21"/>
  <c r="I17" i="21"/>
  <c r="H17" i="21"/>
  <c r="G17" i="21"/>
  <c r="F17" i="21"/>
  <c r="E17" i="21"/>
  <c r="D17" i="21"/>
  <c r="N12" i="21"/>
  <c r="M43" i="20"/>
  <c r="L12" i="21"/>
  <c r="K43" i="20"/>
  <c r="K12" i="21"/>
  <c r="J43" i="20"/>
  <c r="J12" i="21"/>
  <c r="I43" i="20"/>
  <c r="I12" i="21"/>
  <c r="H43" i="20"/>
  <c r="H11" i="21"/>
  <c r="G11" i="21"/>
  <c r="E11" i="21"/>
  <c r="E12" i="21"/>
  <c r="M12" i="21"/>
  <c r="L43" i="20"/>
  <c r="F12" i="21"/>
  <c r="E43" i="20"/>
  <c r="D12" i="21"/>
  <c r="C43" i="20"/>
  <c r="G329" i="20"/>
  <c r="F329" i="20"/>
  <c r="G328" i="20"/>
  <c r="F328" i="20"/>
  <c r="G326" i="20"/>
  <c r="G323" i="20"/>
  <c r="F326" i="20"/>
  <c r="G325" i="20"/>
  <c r="G322" i="20" s="1"/>
  <c r="F325" i="20"/>
  <c r="M323" i="20"/>
  <c r="L323" i="20"/>
  <c r="K323" i="20"/>
  <c r="J323" i="20"/>
  <c r="I323" i="20"/>
  <c r="H323" i="20"/>
  <c r="E323" i="20"/>
  <c r="D323" i="20"/>
  <c r="C323" i="20"/>
  <c r="G304" i="20"/>
  <c r="G301" i="20"/>
  <c r="D304" i="20"/>
  <c r="F304" i="20"/>
  <c r="F301" i="20"/>
  <c r="G303" i="20"/>
  <c r="G300" i="20"/>
  <c r="D303" i="20"/>
  <c r="F303" i="20"/>
  <c r="F300" i="20"/>
  <c r="E297" i="20"/>
  <c r="F297" i="20"/>
  <c r="E296" i="20"/>
  <c r="F296" i="20"/>
  <c r="E293" i="20"/>
  <c r="F293" i="20"/>
  <c r="E292" i="20"/>
  <c r="E289" i="20"/>
  <c r="F289" i="20"/>
  <c r="E288" i="20"/>
  <c r="E285" i="20" s="1"/>
  <c r="F288" i="20"/>
  <c r="G263" i="20"/>
  <c r="J229" i="20"/>
  <c r="J226" i="20"/>
  <c r="E233" i="20"/>
  <c r="F233" i="20"/>
  <c r="F229" i="20"/>
  <c r="F226" i="20"/>
  <c r="J228" i="20"/>
  <c r="E232" i="20"/>
  <c r="M229" i="20"/>
  <c r="M226" i="20"/>
  <c r="L229" i="20"/>
  <c r="L226" i="20"/>
  <c r="K229" i="20"/>
  <c r="K226" i="20"/>
  <c r="H229" i="20"/>
  <c r="H226" i="20"/>
  <c r="D229" i="20"/>
  <c r="D226" i="20"/>
  <c r="C229" i="20"/>
  <c r="C226" i="20"/>
  <c r="M228" i="20"/>
  <c r="M225" i="20" s="1"/>
  <c r="L228" i="20"/>
  <c r="K228" i="20"/>
  <c r="H228" i="20"/>
  <c r="D228" i="20"/>
  <c r="C228" i="20"/>
  <c r="G214" i="20"/>
  <c r="F214" i="20"/>
  <c r="F211" i="20"/>
  <c r="G213" i="20"/>
  <c r="F213" i="20"/>
  <c r="F210" i="20"/>
  <c r="M211" i="20"/>
  <c r="M20" i="20"/>
  <c r="L211" i="20"/>
  <c r="K211" i="20"/>
  <c r="K20" i="20"/>
  <c r="J211" i="20"/>
  <c r="J20" i="20" s="1"/>
  <c r="I211" i="20"/>
  <c r="H211" i="20"/>
  <c r="E211" i="20"/>
  <c r="D211" i="20"/>
  <c r="C211" i="20"/>
  <c r="M210" i="20"/>
  <c r="L210" i="20"/>
  <c r="K210" i="20"/>
  <c r="J210" i="20"/>
  <c r="I210" i="20"/>
  <c r="H210" i="20"/>
  <c r="E210" i="20"/>
  <c r="D210" i="20"/>
  <c r="C210" i="20"/>
  <c r="G208" i="20"/>
  <c r="F208" i="20"/>
  <c r="F204" i="20"/>
  <c r="G207" i="20"/>
  <c r="F207" i="20"/>
  <c r="F203" i="20"/>
  <c r="M204" i="20"/>
  <c r="L204" i="20"/>
  <c r="K204" i="20"/>
  <c r="J204" i="20"/>
  <c r="J201" i="20"/>
  <c r="I204" i="20"/>
  <c r="H204" i="20"/>
  <c r="H201" i="20" s="1"/>
  <c r="E204" i="20"/>
  <c r="E201" i="20"/>
  <c r="D204" i="20"/>
  <c r="D201" i="20"/>
  <c r="C204" i="20"/>
  <c r="M203" i="20"/>
  <c r="L203" i="20"/>
  <c r="K203" i="20"/>
  <c r="J203" i="20"/>
  <c r="J200" i="20"/>
  <c r="I203" i="20"/>
  <c r="I200" i="20" s="1"/>
  <c r="H203" i="20"/>
  <c r="H200" i="20" s="1"/>
  <c r="E203" i="20"/>
  <c r="D203" i="20"/>
  <c r="C203" i="20"/>
  <c r="C16" i="20"/>
  <c r="G190" i="20"/>
  <c r="G186" i="20"/>
  <c r="F190" i="20"/>
  <c r="F186" i="20"/>
  <c r="G189" i="20"/>
  <c r="G185" i="20"/>
  <c r="F189" i="20"/>
  <c r="F185" i="20"/>
  <c r="G183" i="20"/>
  <c r="G179" i="20"/>
  <c r="F183" i="20"/>
  <c r="F179" i="20"/>
  <c r="F176" i="20"/>
  <c r="G182" i="20"/>
  <c r="G178" i="20"/>
  <c r="F182" i="20"/>
  <c r="F178" i="20"/>
  <c r="M157" i="20"/>
  <c r="L157" i="20"/>
  <c r="K157" i="20"/>
  <c r="J157" i="20"/>
  <c r="I157" i="20"/>
  <c r="H157" i="20"/>
  <c r="G157" i="20"/>
  <c r="F157" i="20"/>
  <c r="E157" i="20"/>
  <c r="D157" i="20"/>
  <c r="C157" i="20"/>
  <c r="G145" i="20"/>
  <c r="G142" i="20"/>
  <c r="D145" i="20"/>
  <c r="G144" i="20"/>
  <c r="G141" i="20"/>
  <c r="D144" i="20"/>
  <c r="F144" i="20"/>
  <c r="F141" i="20"/>
  <c r="E139" i="20"/>
  <c r="E136" i="20"/>
  <c r="E133" i="20"/>
  <c r="D139" i="20"/>
  <c r="E138" i="20"/>
  <c r="E135" i="20"/>
  <c r="E132" i="20" s="1"/>
  <c r="D138" i="20"/>
  <c r="D135" i="20"/>
  <c r="M136" i="20"/>
  <c r="M17" i="20" s="1"/>
  <c r="L136" i="20"/>
  <c r="K136" i="20"/>
  <c r="K133" i="20"/>
  <c r="H136" i="20"/>
  <c r="C136" i="20"/>
  <c r="M135" i="20"/>
  <c r="M132" i="20" s="1"/>
  <c r="L135" i="20"/>
  <c r="K135" i="20"/>
  <c r="H135" i="20"/>
  <c r="G120" i="20"/>
  <c r="G117" i="20"/>
  <c r="D120" i="20"/>
  <c r="D117" i="20"/>
  <c r="D111" i="20"/>
  <c r="G119" i="20"/>
  <c r="G116" i="20"/>
  <c r="D119" i="20"/>
  <c r="D116" i="20"/>
  <c r="G114" i="20"/>
  <c r="G113" i="20"/>
  <c r="G94" i="20"/>
  <c r="G91" i="20"/>
  <c r="D94" i="20"/>
  <c r="F94" i="20"/>
  <c r="F91" i="20"/>
  <c r="G93" i="20"/>
  <c r="G90" i="20"/>
  <c r="D93" i="20"/>
  <c r="D90" i="20"/>
  <c r="G56" i="20"/>
  <c r="F56" i="20"/>
  <c r="G55" i="20"/>
  <c r="F55" i="20"/>
  <c r="G53" i="20"/>
  <c r="G50" i="20" s="1"/>
  <c r="F53" i="20"/>
  <c r="F50" i="20" s="1"/>
  <c r="G52" i="20"/>
  <c r="F52" i="20"/>
  <c r="M50" i="20"/>
  <c r="L50" i="20"/>
  <c r="K50" i="20"/>
  <c r="J50" i="20"/>
  <c r="I50" i="20"/>
  <c r="H50" i="20"/>
  <c r="E50" i="20"/>
  <c r="D50" i="20"/>
  <c r="C50" i="20"/>
  <c r="G38" i="20"/>
  <c r="G35" i="20"/>
  <c r="F38" i="20"/>
  <c r="F35" i="20"/>
  <c r="G37" i="20"/>
  <c r="G34" i="20"/>
  <c r="F37" i="20"/>
  <c r="F34" i="20"/>
  <c r="G32" i="20"/>
  <c r="F32" i="20"/>
  <c r="F29" i="20" s="1"/>
  <c r="G31" i="20"/>
  <c r="F31" i="20"/>
  <c r="M23" i="20"/>
  <c r="L23" i="20"/>
  <c r="K23" i="20"/>
  <c r="J23" i="20"/>
  <c r="I23" i="20"/>
  <c r="H23" i="20"/>
  <c r="G23" i="20"/>
  <c r="F23" i="20"/>
  <c r="E23" i="20"/>
  <c r="D23" i="20"/>
  <c r="C23" i="20"/>
  <c r="J458" i="17"/>
  <c r="G457" i="17"/>
  <c r="G453" i="17"/>
  <c r="D23" i="6"/>
  <c r="E23" i="6"/>
  <c r="H23" i="6"/>
  <c r="F23" i="6"/>
  <c r="D218" i="6"/>
  <c r="E218" i="6"/>
  <c r="M218" i="6"/>
  <c r="H218" i="6"/>
  <c r="F221" i="6"/>
  <c r="D221" i="6"/>
  <c r="G221" i="6"/>
  <c r="H221" i="6"/>
  <c r="M21" i="6"/>
  <c r="H21" i="6"/>
  <c r="D21" i="6"/>
  <c r="D22" i="6"/>
  <c r="E22" i="6"/>
  <c r="M22" i="6"/>
  <c r="H22" i="6"/>
  <c r="F22" i="6"/>
  <c r="D20" i="6"/>
  <c r="M20" i="6"/>
  <c r="H20" i="6"/>
  <c r="D118" i="6"/>
  <c r="G118" i="6"/>
  <c r="M118" i="6"/>
  <c r="M141" i="6"/>
  <c r="L316" i="17"/>
  <c r="L313" i="17"/>
  <c r="L260" i="17"/>
  <c r="H12" i="6"/>
  <c r="G12" i="6"/>
  <c r="E12" i="6"/>
  <c r="D14" i="6"/>
  <c r="E14" i="6"/>
  <c r="D13" i="6"/>
  <c r="E13" i="6"/>
  <c r="D58" i="6"/>
  <c r="G58" i="6"/>
  <c r="M58" i="6"/>
  <c r="H58" i="6"/>
  <c r="D66" i="6"/>
  <c r="M66" i="6"/>
  <c r="H66" i="6"/>
  <c r="D64" i="6"/>
  <c r="G64" i="6"/>
  <c r="M64" i="6"/>
  <c r="H64" i="6"/>
  <c r="D60" i="6"/>
  <c r="E60" i="6"/>
  <c r="M60" i="6"/>
  <c r="H60" i="6"/>
  <c r="H65" i="6"/>
  <c r="D61" i="6"/>
  <c r="E61" i="6"/>
  <c r="M61" i="6"/>
  <c r="H61" i="6"/>
  <c r="D63" i="6"/>
  <c r="E63" i="6"/>
  <c r="M63" i="6"/>
  <c r="H63" i="6"/>
  <c r="D62" i="6"/>
  <c r="G62" i="6"/>
  <c r="M62" i="6"/>
  <c r="H62" i="6"/>
  <c r="D59" i="6"/>
  <c r="H71" i="18"/>
  <c r="E71" i="18"/>
  <c r="G71" i="18"/>
  <c r="H67" i="6"/>
  <c r="G67" i="6"/>
  <c r="E67" i="6"/>
  <c r="D220" i="6"/>
  <c r="E220" i="6"/>
  <c r="M220" i="6"/>
  <c r="M232" i="6"/>
  <c r="L609" i="17"/>
  <c r="L605" i="17"/>
  <c r="L515" i="17"/>
  <c r="F224" i="6"/>
  <c r="G224" i="6"/>
  <c r="H219" i="6"/>
  <c r="G219" i="6"/>
  <c r="E219" i="6"/>
  <c r="F218" i="6"/>
  <c r="H223" i="6"/>
  <c r="G223" i="6"/>
  <c r="E223" i="6"/>
  <c r="E30" i="14"/>
  <c r="G392" i="17"/>
  <c r="D392" i="17"/>
  <c r="F392" i="17"/>
  <c r="G391" i="17"/>
  <c r="D391" i="17"/>
  <c r="F391" i="17"/>
  <c r="D68" i="14"/>
  <c r="E68" i="14"/>
  <c r="F68" i="14"/>
  <c r="F71" i="14"/>
  <c r="E611" i="17"/>
  <c r="G574" i="17"/>
  <c r="D574" i="17"/>
  <c r="G573" i="17"/>
  <c r="D573" i="17"/>
  <c r="G388" i="17"/>
  <c r="D388" i="17"/>
  <c r="F388" i="17"/>
  <c r="G387" i="17"/>
  <c r="D387" i="17"/>
  <c r="F387" i="17"/>
  <c r="F20" i="6"/>
  <c r="G20" i="6"/>
  <c r="D380" i="17"/>
  <c r="F18" i="6"/>
  <c r="D18" i="6"/>
  <c r="G281" i="17"/>
  <c r="C281" i="17"/>
  <c r="D281" i="17"/>
  <c r="G282" i="17"/>
  <c r="D282" i="17"/>
  <c r="F282" i="17"/>
  <c r="E278" i="17"/>
  <c r="E271" i="17"/>
  <c r="E277" i="17"/>
  <c r="E270" i="17"/>
  <c r="D278" i="17"/>
  <c r="D277" i="17"/>
  <c r="H11" i="6"/>
  <c r="F11" i="6"/>
  <c r="D11" i="6"/>
  <c r="G11" i="6" s="1"/>
  <c r="E11" i="6"/>
  <c r="H24" i="6"/>
  <c r="F24" i="6"/>
  <c r="G24" i="6"/>
  <c r="E24" i="6"/>
  <c r="H29" i="6"/>
  <c r="D29" i="6"/>
  <c r="E29" i="6"/>
  <c r="G47" i="17"/>
  <c r="F47" i="17"/>
  <c r="G46" i="17"/>
  <c r="F46" i="17"/>
  <c r="F60" i="6"/>
  <c r="F61" i="6"/>
  <c r="G61" i="6"/>
  <c r="F59" i="6"/>
  <c r="E530" i="17"/>
  <c r="F530" i="17"/>
  <c r="E529" i="17"/>
  <c r="E526" i="17"/>
  <c r="F526" i="17"/>
  <c r="E525" i="17"/>
  <c r="F525" i="17"/>
  <c r="E522" i="17"/>
  <c r="E521" i="17"/>
  <c r="E458" i="17"/>
  <c r="F458" i="17"/>
  <c r="F454" i="17"/>
  <c r="F451" i="17"/>
  <c r="E457" i="17"/>
  <c r="F457" i="17"/>
  <c r="F453" i="17"/>
  <c r="H93" i="18"/>
  <c r="E93" i="18"/>
  <c r="H117" i="6"/>
  <c r="G117" i="6"/>
  <c r="E117" i="6"/>
  <c r="E267" i="17"/>
  <c r="E264" i="17"/>
  <c r="E266" i="17"/>
  <c r="E263" i="17"/>
  <c r="D267" i="17"/>
  <c r="D264" i="17"/>
  <c r="D266" i="17"/>
  <c r="D263" i="17"/>
  <c r="E110" i="17"/>
  <c r="E111" i="17"/>
  <c r="F111" i="17"/>
  <c r="E115" i="17"/>
  <c r="F115" i="17"/>
  <c r="E114" i="17"/>
  <c r="F114" i="17"/>
  <c r="E69" i="18"/>
  <c r="G69" i="18"/>
  <c r="H147" i="18"/>
  <c r="E147" i="18"/>
  <c r="G147" i="18"/>
  <c r="H47" i="18"/>
  <c r="E47" i="18"/>
  <c r="G47" i="18"/>
  <c r="H83" i="18"/>
  <c r="E83" i="18"/>
  <c r="G83" i="18"/>
  <c r="H149" i="18"/>
  <c r="E149" i="18"/>
  <c r="G149" i="18"/>
  <c r="D124" i="18"/>
  <c r="C433" i="17"/>
  <c r="H123" i="18"/>
  <c r="E123" i="18"/>
  <c r="G123" i="18"/>
  <c r="H121" i="18"/>
  <c r="E121" i="18"/>
  <c r="G121" i="18"/>
  <c r="H82" i="18"/>
  <c r="E82" i="18"/>
  <c r="G82" i="18"/>
  <c r="G240" i="17"/>
  <c r="D240" i="17"/>
  <c r="F240" i="17"/>
  <c r="G239" i="17"/>
  <c r="D239" i="17"/>
  <c r="F239" i="17"/>
  <c r="H81" i="18"/>
  <c r="E81" i="18"/>
  <c r="G81" i="18"/>
  <c r="D72" i="18"/>
  <c r="C215" i="17"/>
  <c r="F109" i="6"/>
  <c r="G109" i="6"/>
  <c r="H13" i="18"/>
  <c r="E13" i="18"/>
  <c r="G13" i="18"/>
  <c r="D51" i="17"/>
  <c r="F51" i="17"/>
  <c r="D50" i="17"/>
  <c r="F50" i="17"/>
  <c r="G51" i="17"/>
  <c r="G50" i="17"/>
  <c r="H17" i="18"/>
  <c r="E17" i="18"/>
  <c r="G17" i="18"/>
  <c r="F26" i="6"/>
  <c r="G26" i="6"/>
  <c r="H16" i="18"/>
  <c r="E16" i="18"/>
  <c r="G16" i="18"/>
  <c r="F27" i="6"/>
  <c r="G27" i="6"/>
  <c r="H15" i="18"/>
  <c r="E15" i="18"/>
  <c r="G15" i="18"/>
  <c r="F28" i="6"/>
  <c r="G28" i="6"/>
  <c r="H14" i="18"/>
  <c r="E14" i="18"/>
  <c r="G14" i="18"/>
  <c r="G24" i="18" s="1"/>
  <c r="F74" i="17" s="1"/>
  <c r="F25" i="6"/>
  <c r="G25" i="6"/>
  <c r="H68" i="6"/>
  <c r="D68" i="6"/>
  <c r="G68" i="6"/>
  <c r="H68" i="18"/>
  <c r="E68" i="18"/>
  <c r="G68" i="18"/>
  <c r="H67" i="18"/>
  <c r="E67" i="18"/>
  <c r="G67" i="18"/>
  <c r="F88" i="6"/>
  <c r="G88" i="6"/>
  <c r="F85" i="6"/>
  <c r="G85" i="6"/>
  <c r="G209" i="17"/>
  <c r="D209" i="17"/>
  <c r="F209" i="17"/>
  <c r="G208" i="17"/>
  <c r="D208" i="17"/>
  <c r="F208" i="17"/>
  <c r="G205" i="17"/>
  <c r="D205" i="17"/>
  <c r="F205" i="17"/>
  <c r="G204" i="17"/>
  <c r="D204" i="17"/>
  <c r="F204" i="17"/>
  <c r="H66" i="18"/>
  <c r="E66" i="18"/>
  <c r="G66" i="18"/>
  <c r="F87" i="6"/>
  <c r="G87" i="6"/>
  <c r="D196" i="17"/>
  <c r="F196" i="17"/>
  <c r="G196" i="17"/>
  <c r="D197" i="17"/>
  <c r="F197" i="17"/>
  <c r="G197" i="17"/>
  <c r="H65" i="18"/>
  <c r="E65" i="18"/>
  <c r="G65" i="18"/>
  <c r="F83" i="6"/>
  <c r="G83" i="6"/>
  <c r="H64" i="18"/>
  <c r="E64" i="18"/>
  <c r="G64" i="18"/>
  <c r="F78" i="6"/>
  <c r="G78" i="6"/>
  <c r="H63" i="18"/>
  <c r="E63" i="18"/>
  <c r="G63" i="18"/>
  <c r="F80" i="6"/>
  <c r="G80" i="6"/>
  <c r="H62" i="18"/>
  <c r="E62" i="18"/>
  <c r="G62" i="18"/>
  <c r="F76" i="6"/>
  <c r="G76" i="6"/>
  <c r="H61" i="18"/>
  <c r="E61" i="18"/>
  <c r="G61" i="18"/>
  <c r="F75" i="6"/>
  <c r="G75" i="6"/>
  <c r="H60" i="18"/>
  <c r="E60" i="18"/>
  <c r="G60" i="18"/>
  <c r="F74" i="6"/>
  <c r="G74" i="6"/>
  <c r="H59" i="18"/>
  <c r="E59" i="18"/>
  <c r="G59" i="18"/>
  <c r="F84" i="6"/>
  <c r="G84" i="6"/>
  <c r="H58" i="18"/>
  <c r="E58" i="18"/>
  <c r="G58" i="18"/>
  <c r="F72" i="6"/>
  <c r="G72" i="6"/>
  <c r="H57" i="18"/>
  <c r="E57" i="18"/>
  <c r="G57" i="18"/>
  <c r="F79" i="6"/>
  <c r="G79" i="6"/>
  <c r="H56" i="18"/>
  <c r="E56" i="18"/>
  <c r="G56" i="18"/>
  <c r="H55" i="18"/>
  <c r="E55" i="18"/>
  <c r="G55" i="18"/>
  <c r="F77" i="6"/>
  <c r="G77" i="6"/>
  <c r="H54" i="18"/>
  <c r="E54" i="18"/>
  <c r="G54" i="18"/>
  <c r="F71" i="6"/>
  <c r="G71" i="6"/>
  <c r="G153" i="17"/>
  <c r="D153" i="17"/>
  <c r="F153" i="17"/>
  <c r="G152" i="17"/>
  <c r="D152" i="17"/>
  <c r="F152" i="17"/>
  <c r="H53" i="18"/>
  <c r="E53" i="18"/>
  <c r="G53" i="18"/>
  <c r="F90" i="6"/>
  <c r="G90" i="6"/>
  <c r="F91" i="6"/>
  <c r="G91" i="6"/>
  <c r="H52" i="18"/>
  <c r="E52" i="18"/>
  <c r="G52" i="18"/>
  <c r="H51" i="18"/>
  <c r="E51" i="18"/>
  <c r="G51" i="18"/>
  <c r="F89" i="6"/>
  <c r="G89" i="6"/>
  <c r="G149" i="17"/>
  <c r="D149" i="17"/>
  <c r="F149" i="17"/>
  <c r="G148" i="17"/>
  <c r="D148" i="17"/>
  <c r="F148" i="17"/>
  <c r="H50" i="18"/>
  <c r="E50" i="18"/>
  <c r="G50" i="18"/>
  <c r="F86" i="6"/>
  <c r="G86" i="6"/>
  <c r="G129" i="17"/>
  <c r="D129" i="17"/>
  <c r="F129" i="17"/>
  <c r="G128" i="17"/>
  <c r="D128" i="17"/>
  <c r="F128" i="17"/>
  <c r="G125" i="17"/>
  <c r="D125" i="17"/>
  <c r="G124" i="17"/>
  <c r="D124" i="17"/>
  <c r="F124" i="17"/>
  <c r="H49" i="18"/>
  <c r="E49" i="18"/>
  <c r="G49" i="18"/>
  <c r="F81" i="6"/>
  <c r="G81" i="6"/>
  <c r="G141" i="17"/>
  <c r="D141" i="17"/>
  <c r="F141" i="17"/>
  <c r="G140" i="17"/>
  <c r="D140" i="17"/>
  <c r="F140" i="17"/>
  <c r="H48" i="18"/>
  <c r="E48" i="18"/>
  <c r="G137" i="17"/>
  <c r="D137" i="17"/>
  <c r="F137" i="17"/>
  <c r="G136" i="17"/>
  <c r="D136" i="17"/>
  <c r="F136" i="17"/>
  <c r="F82" i="6"/>
  <c r="G82" i="6"/>
  <c r="H45" i="18"/>
  <c r="H72" i="18" s="1"/>
  <c r="G215" i="17" s="1"/>
  <c r="F73" i="6"/>
  <c r="G73" i="6"/>
  <c r="M181" i="6"/>
  <c r="H181" i="6"/>
  <c r="G479" i="17"/>
  <c r="D480" i="17"/>
  <c r="D476" i="17"/>
  <c r="D479" i="17"/>
  <c r="D475" i="17"/>
  <c r="G43" i="17"/>
  <c r="F43" i="17"/>
  <c r="G42" i="17"/>
  <c r="F42" i="17"/>
  <c r="G39" i="17"/>
  <c r="F39" i="17"/>
  <c r="G38" i="17"/>
  <c r="F38" i="17"/>
  <c r="H89" i="6"/>
  <c r="E89" i="6"/>
  <c r="H95" i="18"/>
  <c r="G111" i="6"/>
  <c r="E95" i="18"/>
  <c r="G95" i="18"/>
  <c r="E98" i="18"/>
  <c r="G98" i="18"/>
  <c r="H140" i="6"/>
  <c r="E140" i="6"/>
  <c r="G140" i="6"/>
  <c r="G293" i="17"/>
  <c r="H16" i="6"/>
  <c r="G16" i="6"/>
  <c r="E16" i="6"/>
  <c r="H49" i="14"/>
  <c r="H47" i="14"/>
  <c r="G47" i="14"/>
  <c r="E47" i="14"/>
  <c r="H159" i="6"/>
  <c r="H26" i="6"/>
  <c r="G383" i="17"/>
  <c r="G285" i="17"/>
  <c r="H134" i="6"/>
  <c r="G134" i="6"/>
  <c r="E134" i="6"/>
  <c r="H121" i="6"/>
  <c r="G121" i="6"/>
  <c r="G222" i="6"/>
  <c r="E222" i="6"/>
  <c r="H82" i="6"/>
  <c r="H90" i="6"/>
  <c r="H28" i="6"/>
  <c r="H27" i="6"/>
  <c r="H105" i="18"/>
  <c r="E105" i="18"/>
  <c r="G105" i="18"/>
  <c r="H111" i="18"/>
  <c r="E111" i="18"/>
  <c r="H129" i="6"/>
  <c r="H133" i="6"/>
  <c r="D36" i="14"/>
  <c r="C248" i="17"/>
  <c r="H194" i="6"/>
  <c r="G46" i="14"/>
  <c r="G558" i="17"/>
  <c r="E45" i="14"/>
  <c r="E31" i="18"/>
  <c r="E35" i="18" s="1"/>
  <c r="D97" i="17" s="1"/>
  <c r="D93" i="17" s="1"/>
  <c r="D84" i="17" s="1"/>
  <c r="G286" i="17"/>
  <c r="D286" i="17"/>
  <c r="F286" i="17"/>
  <c r="D285" i="17"/>
  <c r="F285" i="17"/>
  <c r="H180" i="6"/>
  <c r="H110" i="6"/>
  <c r="H63" i="14"/>
  <c r="H64" i="14"/>
  <c r="G408" i="17"/>
  <c r="G63" i="14"/>
  <c r="G64" i="14"/>
  <c r="E63" i="14"/>
  <c r="E64" i="14"/>
  <c r="D408" i="17"/>
  <c r="H18" i="6"/>
  <c r="H69" i="14"/>
  <c r="H193" i="6"/>
  <c r="G309" i="17"/>
  <c r="H115" i="18"/>
  <c r="H182" i="6"/>
  <c r="G180" i="6"/>
  <c r="G294" i="17"/>
  <c r="H84" i="6"/>
  <c r="H160" i="18"/>
  <c r="H161" i="18"/>
  <c r="G634" i="17"/>
  <c r="E160" i="18"/>
  <c r="E161" i="18"/>
  <c r="D634" i="17"/>
  <c r="G380" i="17"/>
  <c r="G379" i="17"/>
  <c r="H78" i="6"/>
  <c r="H81" i="6"/>
  <c r="H80" i="6"/>
  <c r="E80" i="6"/>
  <c r="E84" i="6"/>
  <c r="H79" i="6"/>
  <c r="E79" i="6"/>
  <c r="H72" i="6"/>
  <c r="E71" i="6"/>
  <c r="H83" i="6"/>
  <c r="E83" i="6"/>
  <c r="H172" i="6"/>
  <c r="H17" i="6"/>
  <c r="G17" i="6"/>
  <c r="E17" i="6"/>
  <c r="G290" i="17"/>
  <c r="D290" i="17"/>
  <c r="G289" i="17"/>
  <c r="D289" i="17"/>
  <c r="F289" i="17"/>
  <c r="H137" i="18"/>
  <c r="E137" i="18"/>
  <c r="G137" i="18"/>
  <c r="D24" i="14"/>
  <c r="C216" i="17"/>
  <c r="H109" i="6"/>
  <c r="H31" i="6"/>
  <c r="H185" i="6"/>
  <c r="E73" i="6"/>
  <c r="H23" i="14"/>
  <c r="E23" i="14"/>
  <c r="G23" i="14"/>
  <c r="G277" i="17"/>
  <c r="H22" i="14"/>
  <c r="E22" i="14"/>
  <c r="E24" i="14" s="1"/>
  <c r="D216" i="17" s="1"/>
  <c r="E533" i="17"/>
  <c r="F533" i="17"/>
  <c r="G562" i="17"/>
  <c r="D562" i="17"/>
  <c r="G561" i="17"/>
  <c r="D561" i="17"/>
  <c r="F561" i="17"/>
  <c r="G598" i="17"/>
  <c r="D598" i="17"/>
  <c r="F598" i="17"/>
  <c r="G597" i="17"/>
  <c r="D597" i="17"/>
  <c r="F597" i="17"/>
  <c r="G594" i="17"/>
  <c r="D594" i="17"/>
  <c r="F594" i="17"/>
  <c r="G593" i="17"/>
  <c r="D593" i="17"/>
  <c r="F593" i="17"/>
  <c r="H114" i="18"/>
  <c r="F294" i="17"/>
  <c r="F293" i="17"/>
  <c r="H104" i="18"/>
  <c r="E104" i="18"/>
  <c r="G104" i="18"/>
  <c r="G106" i="18"/>
  <c r="F348" i="17"/>
  <c r="F344" i="17"/>
  <c r="F333" i="17"/>
  <c r="E45" i="18"/>
  <c r="G45" i="18"/>
  <c r="H130" i="18"/>
  <c r="H131" i="18"/>
  <c r="E130" i="18"/>
  <c r="E131" i="18"/>
  <c r="H33" i="14"/>
  <c r="G33" i="14"/>
  <c r="E33" i="14"/>
  <c r="H31" i="14"/>
  <c r="G31" i="14"/>
  <c r="E31" i="14"/>
  <c r="E36" i="14" s="1"/>
  <c r="D248" i="17" s="1"/>
  <c r="H206" i="6"/>
  <c r="G206" i="6"/>
  <c r="H175" i="6"/>
  <c r="G175" i="6"/>
  <c r="E175" i="6"/>
  <c r="H174" i="6"/>
  <c r="H173" i="6"/>
  <c r="G173" i="6"/>
  <c r="E173" i="6"/>
  <c r="M171" i="6"/>
  <c r="H171" i="6"/>
  <c r="G171" i="6"/>
  <c r="E171" i="6"/>
  <c r="H170" i="6"/>
  <c r="F159" i="6"/>
  <c r="D158" i="6"/>
  <c r="F158" i="6"/>
  <c r="F186" i="6"/>
  <c r="E406" i="17"/>
  <c r="E403" i="17"/>
  <c r="E352" i="17"/>
  <c r="D155" i="6"/>
  <c r="E155" i="6"/>
  <c r="D364" i="17"/>
  <c r="G363" i="17"/>
  <c r="F363" i="17"/>
  <c r="H120" i="6"/>
  <c r="G120" i="6"/>
  <c r="E120" i="6"/>
  <c r="H119" i="6"/>
  <c r="G119" i="6"/>
  <c r="E119" i="6"/>
  <c r="E88" i="6"/>
  <c r="F21" i="6"/>
  <c r="D454" i="17"/>
  <c r="D451" i="17"/>
  <c r="G67" i="17"/>
  <c r="D67" i="17"/>
  <c r="F67" i="17"/>
  <c r="D66" i="17"/>
  <c r="F66" i="17"/>
  <c r="G63" i="17"/>
  <c r="D63" i="17"/>
  <c r="F63" i="17"/>
  <c r="G62" i="17"/>
  <c r="D62" i="17"/>
  <c r="F62" i="17"/>
  <c r="G59" i="17"/>
  <c r="D59" i="17"/>
  <c r="F59" i="17"/>
  <c r="D58" i="17"/>
  <c r="H30" i="6"/>
  <c r="G55" i="17"/>
  <c r="G36" i="17" s="1"/>
  <c r="D55" i="17"/>
  <c r="F55" i="17"/>
  <c r="F36" i="17" s="1"/>
  <c r="G54" i="17"/>
  <c r="G35" i="17" s="1"/>
  <c r="D54" i="17"/>
  <c r="F54" i="17"/>
  <c r="G201" i="17"/>
  <c r="D201" i="17"/>
  <c r="F201" i="17"/>
  <c r="G200" i="17"/>
  <c r="D200" i="17"/>
  <c r="F200" i="17"/>
  <c r="G193" i="17"/>
  <c r="D193" i="17"/>
  <c r="F193" i="17"/>
  <c r="G192" i="17"/>
  <c r="D192" i="17"/>
  <c r="F192" i="17"/>
  <c r="G189" i="17"/>
  <c r="D189" i="17"/>
  <c r="F189" i="17"/>
  <c r="G188" i="17"/>
  <c r="D188" i="17"/>
  <c r="F188" i="17"/>
  <c r="G185" i="17"/>
  <c r="D185" i="17"/>
  <c r="F185" i="17"/>
  <c r="G184" i="17"/>
  <c r="D184" i="17"/>
  <c r="F184" i="17"/>
  <c r="G181" i="17"/>
  <c r="D181" i="17"/>
  <c r="F181" i="17"/>
  <c r="G180" i="17"/>
  <c r="D180" i="17"/>
  <c r="F180" i="17"/>
  <c r="G177" i="17"/>
  <c r="D177" i="17"/>
  <c r="F177" i="17"/>
  <c r="G176" i="17"/>
  <c r="D176" i="17"/>
  <c r="F176" i="17"/>
  <c r="H77" i="6"/>
  <c r="G173" i="17"/>
  <c r="D173" i="17"/>
  <c r="F173" i="17"/>
  <c r="G172" i="17"/>
  <c r="D172" i="17"/>
  <c r="F172" i="17"/>
  <c r="H76" i="6"/>
  <c r="E76" i="6"/>
  <c r="G169" i="17"/>
  <c r="D169" i="17"/>
  <c r="F169" i="17"/>
  <c r="G168" i="17"/>
  <c r="D168" i="17"/>
  <c r="F168" i="17"/>
  <c r="H75" i="6"/>
  <c r="E75" i="6"/>
  <c r="G165" i="17"/>
  <c r="D165" i="17"/>
  <c r="F165" i="17"/>
  <c r="G164" i="17"/>
  <c r="D164" i="17"/>
  <c r="F164" i="17"/>
  <c r="E74" i="6"/>
  <c r="H74" i="6"/>
  <c r="G161" i="17"/>
  <c r="D161" i="17"/>
  <c r="F161" i="17"/>
  <c r="D160" i="17"/>
  <c r="F160" i="17"/>
  <c r="G157" i="17"/>
  <c r="D157" i="17"/>
  <c r="F157" i="17"/>
  <c r="G156" i="17"/>
  <c r="D156" i="17"/>
  <c r="F156" i="17"/>
  <c r="D145" i="17"/>
  <c r="F145" i="17"/>
  <c r="D144" i="17"/>
  <c r="F144" i="17"/>
  <c r="H73" i="6"/>
  <c r="G133" i="17"/>
  <c r="D133" i="17"/>
  <c r="D122" i="17" s="1"/>
  <c r="D104" i="17" s="1"/>
  <c r="F133" i="17"/>
  <c r="G132" i="17"/>
  <c r="G121" i="17"/>
  <c r="D132" i="17"/>
  <c r="F132" i="17"/>
  <c r="H135" i="18"/>
  <c r="H139" i="18"/>
  <c r="G507" i="17"/>
  <c r="E135" i="18"/>
  <c r="G135" i="18"/>
  <c r="H151" i="18"/>
  <c r="E151" i="18"/>
  <c r="H150" i="18"/>
  <c r="E150" i="18"/>
  <c r="G150" i="18"/>
  <c r="D453" i="17"/>
  <c r="E70" i="18"/>
  <c r="G70" i="18"/>
  <c r="D150" i="6"/>
  <c r="F150" i="6"/>
  <c r="I150" i="6"/>
  <c r="J150" i="6"/>
  <c r="K150" i="6"/>
  <c r="L150" i="6"/>
  <c r="M150" i="6"/>
  <c r="N150" i="6"/>
  <c r="G566" i="17"/>
  <c r="D496" i="17"/>
  <c r="D493" i="17"/>
  <c r="E11" i="14"/>
  <c r="H11" i="14"/>
  <c r="H12" i="14"/>
  <c r="G45" i="20"/>
  <c r="D12" i="14"/>
  <c r="C45" i="20"/>
  <c r="E45" i="20"/>
  <c r="E40" i="20"/>
  <c r="H45" i="20"/>
  <c r="H40" i="20"/>
  <c r="H28" i="20"/>
  <c r="J45" i="20"/>
  <c r="K45" i="20"/>
  <c r="M45" i="20"/>
  <c r="M40" i="20"/>
  <c r="M28" i="20"/>
  <c r="D18" i="14"/>
  <c r="C63" i="20"/>
  <c r="D63" i="20"/>
  <c r="E63" i="20"/>
  <c r="F63" i="20"/>
  <c r="G63" i="20"/>
  <c r="H63" i="20"/>
  <c r="I63" i="20"/>
  <c r="J63" i="20"/>
  <c r="K63" i="20"/>
  <c r="L63" i="20"/>
  <c r="M63" i="20"/>
  <c r="E55" i="14"/>
  <c r="E56" i="14"/>
  <c r="H55" i="14"/>
  <c r="H56" i="14"/>
  <c r="D56" i="14"/>
  <c r="F56" i="14"/>
  <c r="I56" i="14"/>
  <c r="J56" i="14"/>
  <c r="K56" i="14"/>
  <c r="L56" i="14"/>
  <c r="M56" i="14"/>
  <c r="N56" i="14"/>
  <c r="H68" i="14"/>
  <c r="G70" i="14"/>
  <c r="H70" i="14"/>
  <c r="H33" i="18"/>
  <c r="D106" i="18"/>
  <c r="C348" i="17"/>
  <c r="C344" i="17"/>
  <c r="C333" i="17"/>
  <c r="E113" i="18"/>
  <c r="G113" i="18"/>
  <c r="H113" i="18"/>
  <c r="D131" i="18"/>
  <c r="F131" i="18"/>
  <c r="I131" i="18"/>
  <c r="J131" i="18"/>
  <c r="K131" i="18"/>
  <c r="L131" i="18"/>
  <c r="M131" i="18"/>
  <c r="N131" i="18"/>
  <c r="D161" i="18"/>
  <c r="C634" i="17"/>
  <c r="F161" i="18"/>
  <c r="E634" i="17"/>
  <c r="I161" i="18"/>
  <c r="H634" i="17"/>
  <c r="J161" i="18"/>
  <c r="I634" i="17"/>
  <c r="K161" i="18"/>
  <c r="J634" i="17"/>
  <c r="L161" i="18"/>
  <c r="K634" i="17"/>
  <c r="M161" i="18"/>
  <c r="L634" i="17"/>
  <c r="N161" i="18"/>
  <c r="M634" i="17"/>
  <c r="E30" i="6"/>
  <c r="G30" i="6"/>
  <c r="D19" i="6"/>
  <c r="E19" i="6"/>
  <c r="M19" i="6"/>
  <c r="G32" i="6"/>
  <c r="H32" i="6"/>
  <c r="H13" i="6"/>
  <c r="H14" i="6"/>
  <c r="E15" i="6"/>
  <c r="H15" i="6"/>
  <c r="E50" i="6"/>
  <c r="D61" i="20"/>
  <c r="G50" i="6"/>
  <c r="F61" i="20"/>
  <c r="F58" i="20"/>
  <c r="H50" i="6"/>
  <c r="G61" i="20"/>
  <c r="D50" i="6"/>
  <c r="C61" i="20"/>
  <c r="F50" i="6"/>
  <c r="E61" i="20"/>
  <c r="E58" i="20"/>
  <c r="E49" i="20"/>
  <c r="I50" i="6"/>
  <c r="H61" i="20"/>
  <c r="H58" i="20"/>
  <c r="J50" i="6"/>
  <c r="I61" i="20"/>
  <c r="I58" i="20"/>
  <c r="K50" i="6"/>
  <c r="J61" i="20"/>
  <c r="J58" i="20"/>
  <c r="L50" i="6"/>
  <c r="K61" i="20"/>
  <c r="K58" i="20"/>
  <c r="M50" i="6"/>
  <c r="L61" i="20"/>
  <c r="N50" i="6"/>
  <c r="M61" i="20"/>
  <c r="E69" i="6"/>
  <c r="G69" i="6"/>
  <c r="E70" i="6"/>
  <c r="G70" i="6"/>
  <c r="H59" i="6"/>
  <c r="H85" i="6"/>
  <c r="H86" i="6"/>
  <c r="H87" i="6"/>
  <c r="H88" i="6"/>
  <c r="H128" i="6"/>
  <c r="H131" i="6"/>
  <c r="G150" i="6"/>
  <c r="H150" i="6"/>
  <c r="E153" i="6"/>
  <c r="G153" i="6"/>
  <c r="H153" i="6"/>
  <c r="E154" i="6"/>
  <c r="H154" i="6"/>
  <c r="H155" i="6"/>
  <c r="E157" i="6"/>
  <c r="G157" i="6"/>
  <c r="H157" i="6"/>
  <c r="H158" i="6"/>
  <c r="H160" i="6"/>
  <c r="H161" i="6"/>
  <c r="H162" i="6"/>
  <c r="H163" i="6"/>
  <c r="H164" i="6"/>
  <c r="H165" i="6"/>
  <c r="E166" i="6"/>
  <c r="H166" i="6"/>
  <c r="H167" i="6"/>
  <c r="H168" i="6"/>
  <c r="H169" i="6"/>
  <c r="E226" i="6"/>
  <c r="H226" i="6"/>
  <c r="E184" i="6"/>
  <c r="G184" i="6"/>
  <c r="H184" i="6"/>
  <c r="D192" i="6"/>
  <c r="F192" i="6"/>
  <c r="E199" i="6"/>
  <c r="E200" i="6"/>
  <c r="D468" i="17"/>
  <c r="D465" i="17"/>
  <c r="D450" i="17"/>
  <c r="G199" i="6"/>
  <c r="G200" i="6"/>
  <c r="F468" i="17"/>
  <c r="F465" i="17"/>
  <c r="F450" i="17"/>
  <c r="H199" i="6"/>
  <c r="H200" i="6"/>
  <c r="G468" i="17"/>
  <c r="G465" i="17"/>
  <c r="G450" i="17"/>
  <c r="D200" i="6"/>
  <c r="C468" i="17"/>
  <c r="C465" i="17"/>
  <c r="H468" i="17"/>
  <c r="H465" i="17"/>
  <c r="I468" i="17"/>
  <c r="I465" i="17"/>
  <c r="J468" i="17"/>
  <c r="J465" i="17"/>
  <c r="M468" i="17"/>
  <c r="M465" i="17"/>
  <c r="C23" i="17"/>
  <c r="D23" i="17"/>
  <c r="E23" i="17"/>
  <c r="F23" i="17"/>
  <c r="G23" i="17"/>
  <c r="H23" i="17"/>
  <c r="I23" i="17"/>
  <c r="J23" i="17"/>
  <c r="K23" i="17"/>
  <c r="L23" i="17"/>
  <c r="M23" i="17"/>
  <c r="F32" i="17"/>
  <c r="G32" i="17"/>
  <c r="F33" i="17"/>
  <c r="G33" i="17"/>
  <c r="F87" i="17"/>
  <c r="G87" i="17"/>
  <c r="F88" i="17"/>
  <c r="G88" i="17"/>
  <c r="F90" i="17"/>
  <c r="G90" i="17"/>
  <c r="F91" i="17"/>
  <c r="G91" i="17"/>
  <c r="G85" i="17" s="1"/>
  <c r="D235" i="17"/>
  <c r="F235" i="17"/>
  <c r="F232" i="17"/>
  <c r="G235" i="17"/>
  <c r="G232" i="17"/>
  <c r="D236" i="17"/>
  <c r="F236" i="17"/>
  <c r="F233" i="17" s="1"/>
  <c r="F227" i="17" s="1"/>
  <c r="G236" i="17"/>
  <c r="G233" i="17"/>
  <c r="G227" i="17"/>
  <c r="D273" i="17"/>
  <c r="F273" i="17"/>
  <c r="D274" i="17"/>
  <c r="F274" i="17"/>
  <c r="C334" i="17"/>
  <c r="D334" i="17"/>
  <c r="E334" i="17"/>
  <c r="F334" i="17"/>
  <c r="G334" i="17"/>
  <c r="H334" i="17"/>
  <c r="I334" i="17"/>
  <c r="J334" i="17"/>
  <c r="K334" i="17"/>
  <c r="L334" i="17"/>
  <c r="M334" i="17"/>
  <c r="G359" i="17"/>
  <c r="G375" i="17"/>
  <c r="F376" i="17"/>
  <c r="G376" i="17"/>
  <c r="D379" i="17"/>
  <c r="F379" i="17"/>
  <c r="D383" i="17"/>
  <c r="D371" i="17"/>
  <c r="F383" i="17"/>
  <c r="D384" i="17"/>
  <c r="F309" i="17"/>
  <c r="D310" i="17"/>
  <c r="F310" i="17"/>
  <c r="G421" i="17"/>
  <c r="G418" i="17"/>
  <c r="G422" i="17"/>
  <c r="G419" i="17"/>
  <c r="G412" i="17"/>
  <c r="C453" i="17"/>
  <c r="C450" i="17" s="1"/>
  <c r="H453" i="17"/>
  <c r="H450" i="17" s="1"/>
  <c r="H16" i="17"/>
  <c r="I453" i="17"/>
  <c r="I450" i="17" s="1"/>
  <c r="K453" i="17"/>
  <c r="K450" i="17" s="1"/>
  <c r="K16" i="17"/>
  <c r="L453" i="17"/>
  <c r="L450" i="17" s="1"/>
  <c r="M453" i="17"/>
  <c r="M450" i="17" s="1"/>
  <c r="C454" i="17"/>
  <c r="H454" i="17"/>
  <c r="H451" i="17"/>
  <c r="I454" i="17"/>
  <c r="I451" i="17"/>
  <c r="K454" i="17"/>
  <c r="K451" i="17"/>
  <c r="L454" i="17"/>
  <c r="L451" i="17"/>
  <c r="M454" i="17"/>
  <c r="M451" i="17"/>
  <c r="G533" i="17"/>
  <c r="F534" i="17"/>
  <c r="G534" i="17"/>
  <c r="F537" i="17"/>
  <c r="G537" i="17"/>
  <c r="F538" i="17"/>
  <c r="G538" i="17"/>
  <c r="F541" i="17"/>
  <c r="G541" i="17"/>
  <c r="F542" i="17"/>
  <c r="G542" i="17"/>
  <c r="D601" i="17"/>
  <c r="F601" i="17"/>
  <c r="D602" i="17"/>
  <c r="F602" i="17"/>
  <c r="D565" i="17"/>
  <c r="F565" i="17"/>
  <c r="D566" i="17"/>
  <c r="F566" i="17"/>
  <c r="F557" i="17"/>
  <c r="F558" i="17"/>
  <c r="C622" i="17"/>
  <c r="D622" i="17"/>
  <c r="E622" i="17"/>
  <c r="H622" i="17"/>
  <c r="I622" i="17"/>
  <c r="J622" i="17"/>
  <c r="K622" i="17"/>
  <c r="L622" i="17"/>
  <c r="M622" i="17"/>
  <c r="F624" i="17"/>
  <c r="G624" i="17"/>
  <c r="F625" i="17"/>
  <c r="G625" i="17"/>
  <c r="F627" i="17"/>
  <c r="G627" i="17"/>
  <c r="F628" i="17"/>
  <c r="G628" i="17"/>
  <c r="G622" i="17" s="1"/>
  <c r="C633" i="17"/>
  <c r="D633" i="17"/>
  <c r="E633" i="17"/>
  <c r="F633" i="17"/>
  <c r="G633" i="17"/>
  <c r="J633" i="17"/>
  <c r="L633" i="17"/>
  <c r="C635" i="17"/>
  <c r="C630" i="17" s="1"/>
  <c r="C621" i="17" s="1"/>
  <c r="D635" i="17"/>
  <c r="D630" i="17" s="1"/>
  <c r="D621" i="17" s="1"/>
  <c r="E635" i="17"/>
  <c r="F635" i="17"/>
  <c r="G635" i="17"/>
  <c r="H635" i="17"/>
  <c r="I635" i="17"/>
  <c r="I630" i="17" s="1"/>
  <c r="I621" i="17" s="1"/>
  <c r="J635" i="17"/>
  <c r="J630" i="17" s="1"/>
  <c r="J621" i="17" s="1"/>
  <c r="K635" i="17"/>
  <c r="L635" i="17"/>
  <c r="L630" i="17" s="1"/>
  <c r="L621" i="17" s="1"/>
  <c r="M635" i="17"/>
  <c r="M630" i="17" s="1"/>
  <c r="M621" i="17" s="1"/>
  <c r="G154" i="6"/>
  <c r="G15" i="6"/>
  <c r="E32" i="6"/>
  <c r="H156" i="6"/>
  <c r="G602" i="17"/>
  <c r="G601" i="17"/>
  <c r="E206" i="6"/>
  <c r="G226" i="6"/>
  <c r="E150" i="6"/>
  <c r="H192" i="6"/>
  <c r="G274" i="17"/>
  <c r="G384" i="17"/>
  <c r="H111" i="6"/>
  <c r="H112" i="6" s="1"/>
  <c r="G246" i="17" s="1"/>
  <c r="E81" i="6"/>
  <c r="E70" i="14"/>
  <c r="E71" i="14" s="1"/>
  <c r="E26" i="6"/>
  <c r="E109" i="6"/>
  <c r="E82" i="6"/>
  <c r="E90" i="6"/>
  <c r="E86" i="6"/>
  <c r="E87" i="6"/>
  <c r="E111" i="6"/>
  <c r="E72" i="6"/>
  <c r="H71" i="6"/>
  <c r="G145" i="17"/>
  <c r="E78" i="6"/>
  <c r="H91" i="6"/>
  <c r="E85" i="6"/>
  <c r="H30" i="14"/>
  <c r="E28" i="6"/>
  <c r="E91" i="6"/>
  <c r="E27" i="6"/>
  <c r="E77" i="6"/>
  <c r="E121" i="6"/>
  <c r="G278" i="17"/>
  <c r="H25" i="6"/>
  <c r="E25" i="6"/>
  <c r="G273" i="17"/>
  <c r="G270" i="17"/>
  <c r="G480" i="17"/>
  <c r="D59" i="21"/>
  <c r="C272" i="20"/>
  <c r="D44" i="21"/>
  <c r="C195" i="20"/>
  <c r="C192" i="20"/>
  <c r="C175" i="20"/>
  <c r="H49" i="21"/>
  <c r="G219" i="20"/>
  <c r="H64" i="21"/>
  <c r="G310" i="20"/>
  <c r="M34" i="21"/>
  <c r="L150" i="20"/>
  <c r="L147" i="20"/>
  <c r="L132" i="20"/>
  <c r="E59" i="21"/>
  <c r="D272" i="20"/>
  <c r="G59" i="21"/>
  <c r="F272" i="20"/>
  <c r="F64" i="21"/>
  <c r="E310" i="20"/>
  <c r="E306" i="20"/>
  <c r="H59" i="21"/>
  <c r="G272" i="20"/>
  <c r="M44" i="21"/>
  <c r="L195" i="20"/>
  <c r="M64" i="21"/>
  <c r="L310" i="20"/>
  <c r="L306" i="20"/>
  <c r="D24" i="21"/>
  <c r="C101" i="20"/>
  <c r="C98" i="20"/>
  <c r="C68" i="20"/>
  <c r="L101" i="20"/>
  <c r="L98" i="20"/>
  <c r="L68" i="20"/>
  <c r="D49" i="21"/>
  <c r="C219" i="20"/>
  <c r="C216" i="20"/>
  <c r="D34" i="21"/>
  <c r="C150" i="20"/>
  <c r="H47" i="23"/>
  <c r="G312" i="20"/>
  <c r="D15" i="22"/>
  <c r="C44" i="20"/>
  <c r="H54" i="22"/>
  <c r="G220" i="20"/>
  <c r="G216" i="20"/>
  <c r="M20" i="22"/>
  <c r="L62" i="20"/>
  <c r="L58" i="20" s="1"/>
  <c r="H49" i="22"/>
  <c r="G196" i="20"/>
  <c r="H63" i="22"/>
  <c r="H64" i="22"/>
  <c r="G273" i="20"/>
  <c r="G269" i="20" s="1"/>
  <c r="D64" i="22"/>
  <c r="C273" i="20"/>
  <c r="L40" i="22"/>
  <c r="K151" i="20"/>
  <c r="K147" i="20"/>
  <c r="K132" i="20"/>
  <c r="E33" i="22"/>
  <c r="D127" i="20"/>
  <c r="H33" i="22"/>
  <c r="G127" i="20"/>
  <c r="G123" i="20"/>
  <c r="E15" i="22"/>
  <c r="D44" i="20"/>
  <c r="D40" i="22"/>
  <c r="C151" i="20"/>
  <c r="C147" i="20"/>
  <c r="D20" i="22"/>
  <c r="C62" i="20"/>
  <c r="C58" i="20"/>
  <c r="C49" i="20"/>
  <c r="J135" i="20"/>
  <c r="J16" i="20"/>
  <c r="G31" i="23"/>
  <c r="G46" i="23"/>
  <c r="G47" i="23"/>
  <c r="F312" i="20"/>
  <c r="G11" i="23"/>
  <c r="G12" i="23"/>
  <c r="H15" i="22"/>
  <c r="G44" i="20"/>
  <c r="M15" i="22"/>
  <c r="L44" i="20"/>
  <c r="G78" i="22"/>
  <c r="G79" i="22"/>
  <c r="F335" i="20"/>
  <c r="F331" i="20"/>
  <c r="F322" i="20"/>
  <c r="G14" i="22"/>
  <c r="G15" i="22"/>
  <c r="F44" i="20"/>
  <c r="G62" i="20"/>
  <c r="G58" i="20" s="1"/>
  <c r="M49" i="22"/>
  <c r="L196" i="20"/>
  <c r="L192" i="20" s="1"/>
  <c r="L175" i="20" s="1"/>
  <c r="D74" i="22"/>
  <c r="C311" i="20"/>
  <c r="H40" i="22"/>
  <c r="G151" i="20"/>
  <c r="H34" i="21"/>
  <c r="G150" i="20"/>
  <c r="F44" i="21"/>
  <c r="E195" i="20"/>
  <c r="E192" i="20"/>
  <c r="E175" i="20"/>
  <c r="H12" i="21"/>
  <c r="G43" i="20"/>
  <c r="L29" i="21"/>
  <c r="K126" i="20"/>
  <c r="K123" i="20"/>
  <c r="K110" i="20"/>
  <c r="E29" i="21"/>
  <c r="D126" i="20"/>
  <c r="G12" i="21"/>
  <c r="F43" i="20"/>
  <c r="D64" i="21"/>
  <c r="C310" i="20"/>
  <c r="C306" i="20"/>
  <c r="C282" i="20"/>
  <c r="L44" i="21"/>
  <c r="K195" i="20"/>
  <c r="K192" i="20"/>
  <c r="K175" i="20"/>
  <c r="H44" i="21"/>
  <c r="G195" i="20"/>
  <c r="J136" i="20"/>
  <c r="J133" i="20"/>
  <c r="J17" i="20"/>
  <c r="J14" i="20"/>
  <c r="G233" i="20"/>
  <c r="G229" i="20"/>
  <c r="G226" i="20"/>
  <c r="G49" i="21"/>
  <c r="F219" i="20"/>
  <c r="G64" i="21"/>
  <c r="F310" i="20"/>
  <c r="E44" i="21"/>
  <c r="D195" i="20"/>
  <c r="G34" i="21"/>
  <c r="F150" i="20"/>
  <c r="F147" i="20"/>
  <c r="E49" i="22"/>
  <c r="D196" i="20"/>
  <c r="D192" i="20" s="1"/>
  <c r="D175" i="20" s="1"/>
  <c r="E20" i="22"/>
  <c r="D62" i="20"/>
  <c r="D58" i="20" s="1"/>
  <c r="E34" i="21"/>
  <c r="D150" i="20"/>
  <c r="G29" i="21"/>
  <c r="F126" i="20"/>
  <c r="D43" i="20"/>
  <c r="G166" i="6"/>
  <c r="G45" i="14"/>
  <c r="G50" i="14"/>
  <c r="F318" i="17"/>
  <c r="D99" i="18"/>
  <c r="C317" i="17"/>
  <c r="H31" i="18"/>
  <c r="H35" i="18"/>
  <c r="H98" i="18"/>
  <c r="G288" i="20"/>
  <c r="D264" i="20"/>
  <c r="D249" i="20"/>
  <c r="D263" i="20"/>
  <c r="F292" i="20"/>
  <c r="F285" i="20"/>
  <c r="E249" i="20"/>
  <c r="E74" i="22"/>
  <c r="D311" i="20"/>
  <c r="E46" i="14"/>
  <c r="H45" i="14"/>
  <c r="J69" i="20"/>
  <c r="E111" i="20"/>
  <c r="G83" i="20"/>
  <c r="G71" i="20" s="1"/>
  <c r="E229" i="20"/>
  <c r="E226" i="20"/>
  <c r="G496" i="17"/>
  <c r="G493" i="17"/>
  <c r="K249" i="20"/>
  <c r="E180" i="6"/>
  <c r="D64" i="14"/>
  <c r="C408" i="17"/>
  <c r="G499" i="17"/>
  <c r="H127" i="6"/>
  <c r="F125" i="17"/>
  <c r="F360" i="17"/>
  <c r="J249" i="20"/>
  <c r="D300" i="20"/>
  <c r="I201" i="20"/>
  <c r="L201" i="20"/>
  <c r="H241" i="20"/>
  <c r="H225" i="20"/>
  <c r="I306" i="20"/>
  <c r="G232" i="20"/>
  <c r="G228" i="20"/>
  <c r="G225" i="20"/>
  <c r="G111" i="20"/>
  <c r="G138" i="20"/>
  <c r="G135" i="20"/>
  <c r="F323" i="20"/>
  <c r="C201" i="20"/>
  <c r="K16" i="20"/>
  <c r="D141" i="20"/>
  <c r="F139" i="20"/>
  <c r="F136" i="20"/>
  <c r="J167" i="20"/>
  <c r="J156" i="20"/>
  <c r="M249" i="20"/>
  <c r="E167" i="20"/>
  <c r="E156" i="20"/>
  <c r="F138" i="20"/>
  <c r="F135" i="20"/>
  <c r="M123" i="20"/>
  <c r="M110" i="20"/>
  <c r="M133" i="20"/>
  <c r="G29" i="20"/>
  <c r="M16" i="20"/>
  <c r="K17" i="20"/>
  <c r="K14" i="20" s="1"/>
  <c r="G203" i="20"/>
  <c r="C176" i="20"/>
  <c r="F84" i="20"/>
  <c r="F72" i="20"/>
  <c r="F69" i="20"/>
  <c r="D91" i="20"/>
  <c r="D69" i="20"/>
  <c r="K29" i="20"/>
  <c r="D301" i="20"/>
  <c r="D283" i="20"/>
  <c r="L156" i="20"/>
  <c r="I192" i="20"/>
  <c r="I175" i="20"/>
  <c r="C133" i="20"/>
  <c r="G286" i="20"/>
  <c r="G283" i="20"/>
  <c r="F120" i="20"/>
  <c r="F117" i="20"/>
  <c r="F111" i="20"/>
  <c r="L133" i="20"/>
  <c r="I286" i="20"/>
  <c r="I283" i="20"/>
  <c r="D176" i="20"/>
  <c r="I72" i="20"/>
  <c r="C156" i="20"/>
  <c r="M167" i="20"/>
  <c r="M156" i="20"/>
  <c r="M201" i="20"/>
  <c r="I71" i="20"/>
  <c r="I68" i="20"/>
  <c r="E71" i="20"/>
  <c r="F255" i="20"/>
  <c r="L69" i="20"/>
  <c r="H249" i="20"/>
  <c r="H69" i="20"/>
  <c r="E286" i="20"/>
  <c r="E283" i="20"/>
  <c r="M175" i="20"/>
  <c r="E216" i="20"/>
  <c r="E200" i="20"/>
  <c r="K241" i="20"/>
  <c r="K225" i="20"/>
  <c r="H98" i="20"/>
  <c r="H68" i="20"/>
  <c r="K69" i="20"/>
  <c r="F256" i="20"/>
  <c r="F252" i="20"/>
  <c r="F71" i="20"/>
  <c r="F119" i="20"/>
  <c r="F116" i="20"/>
  <c r="F93" i="20"/>
  <c r="F90" i="20"/>
  <c r="F19" i="20"/>
  <c r="D136" i="20"/>
  <c r="D17" i="20"/>
  <c r="L241" i="20"/>
  <c r="L225" i="20" s="1"/>
  <c r="H306" i="20"/>
  <c r="H147" i="20"/>
  <c r="H132" i="20"/>
  <c r="J123" i="20"/>
  <c r="J110" i="20"/>
  <c r="I147" i="20"/>
  <c r="G139" i="20"/>
  <c r="G136" i="20"/>
  <c r="E269" i="20"/>
  <c r="E248" i="20"/>
  <c r="E72" i="20"/>
  <c r="E17" i="20"/>
  <c r="J241" i="20"/>
  <c r="J68" i="20"/>
  <c r="E59" i="22"/>
  <c r="D245" i="20"/>
  <c r="D241" i="20"/>
  <c r="D225" i="20"/>
  <c r="E44" i="22"/>
  <c r="D171" i="20"/>
  <c r="D167" i="20"/>
  <c r="D156" i="20"/>
  <c r="F408" i="17"/>
  <c r="G30" i="14"/>
  <c r="G36" i="14"/>
  <c r="F248" i="17"/>
  <c r="G525" i="17"/>
  <c r="G267" i="17"/>
  <c r="G264" i="17"/>
  <c r="F249" i="20"/>
  <c r="F496" i="17"/>
  <c r="F493" i="17"/>
  <c r="M29" i="20"/>
  <c r="G36" i="23"/>
  <c r="G37" i="23"/>
  <c r="F172" i="20"/>
  <c r="F167" i="20"/>
  <c r="F156" i="20"/>
  <c r="I167" i="20"/>
  <c r="I156" i="20"/>
  <c r="I19" i="20"/>
  <c r="I29" i="20"/>
  <c r="I20" i="20"/>
  <c r="E19" i="20"/>
  <c r="I269" i="20"/>
  <c r="I45" i="20"/>
  <c r="I40" i="20"/>
  <c r="F259" i="20"/>
  <c r="D251" i="20"/>
  <c r="D16" i="20"/>
  <c r="H20" i="20"/>
  <c r="L20" i="20"/>
  <c r="F380" i="17"/>
  <c r="C104" i="17"/>
  <c r="L271" i="17"/>
  <c r="L261" i="17"/>
  <c r="F375" i="17"/>
  <c r="F371" i="17"/>
  <c r="M261" i="17"/>
  <c r="K261" i="17"/>
  <c r="C270" i="17"/>
  <c r="M353" i="17"/>
  <c r="I353" i="17"/>
  <c r="H353" i="17"/>
  <c r="H261" i="17"/>
  <c r="F277" i="17"/>
  <c r="M104" i="17"/>
  <c r="D232" i="17"/>
  <c r="I104" i="17"/>
  <c r="F278" i="17"/>
  <c r="F119" i="17"/>
  <c r="F107" i="17"/>
  <c r="I344" i="17"/>
  <c r="I333" i="17"/>
  <c r="G156" i="6"/>
  <c r="I16" i="17"/>
  <c r="G495" i="17"/>
  <c r="G492" i="17"/>
  <c r="I20" i="17"/>
  <c r="G266" i="17"/>
  <c r="G263" i="17"/>
  <c r="J93" i="17"/>
  <c r="J84" i="17"/>
  <c r="E454" i="17"/>
  <c r="E451" i="17"/>
  <c r="C19" i="17"/>
  <c r="G310" i="17"/>
  <c r="F421" i="17"/>
  <c r="H344" i="17"/>
  <c r="H333" i="17"/>
  <c r="F267" i="17"/>
  <c r="F264" i="17"/>
  <c r="L93" i="17"/>
  <c r="L84" i="17"/>
  <c r="G55" i="14"/>
  <c r="G56" i="14"/>
  <c r="D50" i="14"/>
  <c r="C318" i="17"/>
  <c r="E49" i="14"/>
  <c r="E50" i="14" s="1"/>
  <c r="D71" i="14"/>
  <c r="C611" i="17"/>
  <c r="G69" i="14"/>
  <c r="K630" i="17"/>
  <c r="K621" i="17"/>
  <c r="H145" i="18"/>
  <c r="H153" i="18"/>
  <c r="G610" i="17"/>
  <c r="E145" i="18"/>
  <c r="G145" i="18"/>
  <c r="H85" i="18"/>
  <c r="H88" i="18"/>
  <c r="G247" i="17"/>
  <c r="G160" i="18"/>
  <c r="G161" i="18"/>
  <c r="F634" i="17"/>
  <c r="F630" i="17"/>
  <c r="F621" i="17"/>
  <c r="E22" i="18"/>
  <c r="D139" i="18"/>
  <c r="C507" i="17"/>
  <c r="D88" i="18"/>
  <c r="C247" i="17"/>
  <c r="D35" i="18"/>
  <c r="C97" i="17"/>
  <c r="C93" i="17"/>
  <c r="D116" i="18"/>
  <c r="C407" i="17"/>
  <c r="H21" i="18"/>
  <c r="J507" i="17"/>
  <c r="J503" i="17" s="1"/>
  <c r="G130" i="18"/>
  <c r="G131" i="18"/>
  <c r="D24" i="18"/>
  <c r="C74" i="17"/>
  <c r="E114" i="18"/>
  <c r="G114" i="18"/>
  <c r="E58" i="6"/>
  <c r="E62" i="6"/>
  <c r="E162" i="6"/>
  <c r="G14" i="6"/>
  <c r="G159" i="6"/>
  <c r="G131" i="6"/>
  <c r="G128" i="6"/>
  <c r="G169" i="6"/>
  <c r="E118" i="6"/>
  <c r="G94" i="6"/>
  <c r="E64" i="6"/>
  <c r="G205" i="6"/>
  <c r="I19" i="17"/>
  <c r="I17" i="17"/>
  <c r="I14" i="17"/>
  <c r="G483" i="17"/>
  <c r="D233" i="17"/>
  <c r="D227" i="17"/>
  <c r="G118" i="17"/>
  <c r="E19" i="17"/>
  <c r="G107" i="17"/>
  <c r="C353" i="17"/>
  <c r="F266" i="17"/>
  <c r="F263" i="17"/>
  <c r="E453" i="17"/>
  <c r="E450" i="17" s="1"/>
  <c r="C20" i="17"/>
  <c r="G110" i="17"/>
  <c r="G106" i="17"/>
  <c r="F495" i="17"/>
  <c r="F492" i="17"/>
  <c r="F85" i="17"/>
  <c r="D271" i="17"/>
  <c r="D261" i="17"/>
  <c r="G487" i="17"/>
  <c r="F480" i="17"/>
  <c r="F476" i="17" s="1"/>
  <c r="F473" i="17" s="1"/>
  <c r="J453" i="17"/>
  <c r="J450" i="17" s="1"/>
  <c r="E107" i="17"/>
  <c r="E104" i="17"/>
  <c r="F384" i="17"/>
  <c r="F479" i="17"/>
  <c r="F475" i="17"/>
  <c r="J107" i="17"/>
  <c r="J104" i="17"/>
  <c r="F290" i="17"/>
  <c r="G364" i="17"/>
  <c r="H227" i="17"/>
  <c r="F573" i="17"/>
  <c r="F569" i="17" s="1"/>
  <c r="G96" i="6"/>
  <c r="G60" i="6"/>
  <c r="G29" i="6"/>
  <c r="L45" i="20"/>
  <c r="L40" i="20"/>
  <c r="H630" i="17"/>
  <c r="H621" i="17"/>
  <c r="K40" i="20"/>
  <c r="K28" i="20"/>
  <c r="D214" i="6"/>
  <c r="C506" i="17"/>
  <c r="C503" i="17"/>
  <c r="C472" i="17"/>
  <c r="E163" i="6"/>
  <c r="D121" i="17"/>
  <c r="I69" i="20"/>
  <c r="E68" i="20"/>
  <c r="E40" i="22"/>
  <c r="D151" i="20"/>
  <c r="F58" i="17"/>
  <c r="F35" i="17" s="1"/>
  <c r="D35" i="17"/>
  <c r="M176" i="20"/>
  <c r="G204" i="20"/>
  <c r="F562" i="17"/>
  <c r="F232" i="20"/>
  <c r="F228" i="20"/>
  <c r="E228" i="20"/>
  <c r="G111" i="18"/>
  <c r="G116" i="18" s="1"/>
  <c r="F407" i="17" s="1"/>
  <c r="E20" i="20"/>
  <c r="E14" i="20" s="1"/>
  <c r="G151" i="18"/>
  <c r="G153" i="18" s="1"/>
  <c r="F610" i="17" s="1"/>
  <c r="E64" i="22"/>
  <c r="D273" i="20"/>
  <c r="D269" i="20"/>
  <c r="G63" i="22"/>
  <c r="G64" i="22"/>
  <c r="F273" i="20"/>
  <c r="F269" i="20"/>
  <c r="G31" i="18"/>
  <c r="G68" i="14"/>
  <c r="G71" i="14"/>
  <c r="F611" i="17"/>
  <c r="C241" i="20"/>
  <c r="C225" i="20"/>
  <c r="K17" i="17"/>
  <c r="C132" i="20"/>
  <c r="J454" i="17"/>
  <c r="G458" i="17"/>
  <c r="G454" i="17"/>
  <c r="G451" i="17"/>
  <c r="G521" i="17"/>
  <c r="G518" i="17"/>
  <c r="L19" i="20"/>
  <c r="E29" i="20"/>
  <c r="L249" i="20"/>
  <c r="F425" i="17"/>
  <c r="F418" i="17"/>
  <c r="F521" i="17"/>
  <c r="H26" i="22"/>
  <c r="G102" i="20"/>
  <c r="G98" i="20"/>
  <c r="J19" i="20"/>
  <c r="E34" i="6"/>
  <c r="E160" i="6"/>
  <c r="G218" i="6"/>
  <c r="G63" i="6"/>
  <c r="G59" i="6"/>
  <c r="G172" i="6"/>
  <c r="G170" i="6"/>
  <c r="E59" i="6"/>
  <c r="E68" i="6"/>
  <c r="E20" i="6"/>
  <c r="G174" i="6"/>
  <c r="E185" i="6"/>
  <c r="G13" i="6"/>
  <c r="E221" i="6"/>
  <c r="G220" i="6"/>
  <c r="H24" i="14"/>
  <c r="G216" i="17"/>
  <c r="G11" i="14"/>
  <c r="E12" i="14"/>
  <c r="D45" i="20"/>
  <c r="D40" i="20"/>
  <c r="E28" i="20"/>
  <c r="D611" i="17"/>
  <c r="H50" i="14"/>
  <c r="G318" i="17"/>
  <c r="G22" i="14"/>
  <c r="G24" i="14"/>
  <c r="F216" i="17"/>
  <c r="H36" i="14"/>
  <c r="G248" i="17"/>
  <c r="G12" i="14"/>
  <c r="F45" i="20"/>
  <c r="G192" i="20"/>
  <c r="G175" i="20"/>
  <c r="D356" i="17"/>
  <c r="F364" i="17"/>
  <c r="F356" i="17"/>
  <c r="F201" i="20"/>
  <c r="C269" i="20"/>
  <c r="C248" i="20"/>
  <c r="M19" i="20"/>
  <c r="J451" i="17"/>
  <c r="J17" i="17"/>
  <c r="H17" i="17"/>
  <c r="D318" i="17"/>
  <c r="K104" i="17"/>
  <c r="K20" i="17"/>
  <c r="K14" i="17"/>
  <c r="D147" i="20"/>
  <c r="D132" i="20"/>
  <c r="C451" i="17"/>
  <c r="C17" i="17"/>
  <c r="C14" i="17"/>
  <c r="E20" i="17"/>
  <c r="E261" i="17"/>
  <c r="G176" i="20"/>
  <c r="F123" i="20"/>
  <c r="F110" i="20"/>
  <c r="H106" i="18"/>
  <c r="G348" i="17"/>
  <c r="G344" i="17"/>
  <c r="G333" i="17"/>
  <c r="H116" i="18"/>
  <c r="G407" i="17"/>
  <c r="E24" i="18"/>
  <c r="D74" i="17"/>
  <c r="E519" i="17"/>
  <c r="F522" i="17"/>
  <c r="F519" i="17" s="1"/>
  <c r="I132" i="20"/>
  <c r="L356" i="17"/>
  <c r="L17" i="17"/>
  <c r="G360" i="17"/>
  <c r="G356" i="17"/>
  <c r="H24" i="18"/>
  <c r="G74" i="17"/>
  <c r="E153" i="18"/>
  <c r="D610" i="17"/>
  <c r="K306" i="20"/>
  <c r="K282" i="20"/>
  <c r="E124" i="18"/>
  <c r="D433" i="17"/>
  <c r="G519" i="17"/>
  <c r="H17" i="20"/>
  <c r="H14" i="20"/>
  <c r="H133" i="20"/>
  <c r="G53" i="22"/>
  <c r="G54" i="22"/>
  <c r="F220" i="20"/>
  <c r="F216" i="20"/>
  <c r="E54" i="22"/>
  <c r="D220" i="20"/>
  <c r="D216" i="20"/>
  <c r="D200" i="20"/>
  <c r="H99" i="18"/>
  <c r="G317" i="17"/>
  <c r="G569" i="17"/>
  <c r="G210" i="20"/>
  <c r="G200" i="20" s="1"/>
  <c r="D570" i="17"/>
  <c r="J225" i="20"/>
  <c r="L20" i="17"/>
  <c r="L14" i="17" s="1"/>
  <c r="J282" i="20"/>
  <c r="G371" i="17"/>
  <c r="D36" i="17"/>
  <c r="E106" i="18"/>
  <c r="D348" i="17"/>
  <c r="D344" i="17"/>
  <c r="D333" i="17"/>
  <c r="G475" i="17"/>
  <c r="M200" i="20"/>
  <c r="D569" i="17"/>
  <c r="L283" i="20"/>
  <c r="E92" i="6"/>
  <c r="J518" i="17"/>
  <c r="J515" i="17" s="1"/>
  <c r="K283" i="20"/>
  <c r="M16" i="17"/>
  <c r="K72" i="18"/>
  <c r="J215" i="17"/>
  <c r="G97" i="17"/>
  <c r="G93" i="17"/>
  <c r="G84" i="17"/>
  <c r="F574" i="17"/>
  <c r="F570" i="17"/>
  <c r="G88" i="18"/>
  <c r="F247" i="17"/>
  <c r="G124" i="18"/>
  <c r="F433" i="17"/>
  <c r="J147" i="20"/>
  <c r="D419" i="17"/>
  <c r="D412" i="17"/>
  <c r="F422" i="17"/>
  <c r="F419" i="17"/>
  <c r="F412" i="17"/>
  <c r="F372" i="17"/>
  <c r="F353" i="17" s="1"/>
  <c r="D518" i="17"/>
  <c r="E88" i="18"/>
  <c r="D247" i="17"/>
  <c r="D372" i="17"/>
  <c r="D20" i="17" s="1"/>
  <c r="F286" i="20"/>
  <c r="F283" i="20"/>
  <c r="K70" i="17"/>
  <c r="H124" i="18"/>
  <c r="G433" i="17"/>
  <c r="M282" i="20"/>
  <c r="M20" i="17"/>
  <c r="C16" i="17"/>
  <c r="G355" i="17"/>
  <c r="D519" i="17"/>
  <c r="C123" i="20"/>
  <c r="C110" i="20" s="1"/>
  <c r="H74" i="22"/>
  <c r="G311" i="20"/>
  <c r="G306" i="20"/>
  <c r="L282" i="20"/>
  <c r="G251" i="20"/>
  <c r="G248" i="20"/>
  <c r="G256" i="20"/>
  <c r="G252" i="20"/>
  <c r="G249" i="20"/>
  <c r="I252" i="20"/>
  <c r="I249" i="20"/>
  <c r="M17" i="17"/>
  <c r="M14" i="17"/>
  <c r="I473" i="17"/>
  <c r="F192" i="20"/>
  <c r="F175" i="20"/>
  <c r="H282" i="20"/>
  <c r="D492" i="17"/>
  <c r="M313" i="17"/>
  <c r="M260" i="17"/>
  <c r="J20" i="17"/>
  <c r="J14" i="17" s="1"/>
  <c r="J132" i="20"/>
  <c r="I17" i="20"/>
  <c r="I14" i="20"/>
  <c r="D16" i="17"/>
  <c r="J16" i="17"/>
  <c r="K29" i="17"/>
  <c r="L353" i="17"/>
  <c r="E516" i="17"/>
  <c r="G19" i="20"/>
  <c r="G19" i="17"/>
  <c r="L28" i="20"/>
  <c r="D28" i="20"/>
  <c r="G16" i="17"/>
  <c r="F225" i="20"/>
  <c r="G40" i="20"/>
  <c r="F40" i="20"/>
  <c r="F516" i="17"/>
  <c r="C84" i="17"/>
  <c r="I28" i="20"/>
  <c r="F30" i="17"/>
  <c r="F17" i="17"/>
  <c r="G133" i="20"/>
  <c r="D306" i="20"/>
  <c r="D282" i="20"/>
  <c r="D353" i="17"/>
  <c r="D30" i="17"/>
  <c r="G30" i="17"/>
  <c r="L16" i="17"/>
  <c r="G181" i="6"/>
  <c r="I248" i="20"/>
  <c r="K201" i="20"/>
  <c r="G147" i="20"/>
  <c r="K200" i="20"/>
  <c r="K19" i="20"/>
  <c r="M58" i="20"/>
  <c r="M49" i="20"/>
  <c r="F132" i="20"/>
  <c r="G93" i="18"/>
  <c r="G99" i="18"/>
  <c r="F317" i="17"/>
  <c r="L200" i="20"/>
  <c r="D248" i="20"/>
  <c r="F251" i="20"/>
  <c r="F248" i="20"/>
  <c r="D123" i="20"/>
  <c r="D110" i="20"/>
  <c r="G372" i="17"/>
  <c r="G353" i="17"/>
  <c r="D270" i="17"/>
  <c r="F281" i="17"/>
  <c r="F270" i="17"/>
  <c r="F200" i="20"/>
  <c r="G167" i="20"/>
  <c r="G156" i="20"/>
  <c r="C17" i="20"/>
  <c r="E16" i="20"/>
  <c r="G132" i="20"/>
  <c r="F271" i="17"/>
  <c r="F261" i="17"/>
  <c r="D112" i="6"/>
  <c r="C246" i="17"/>
  <c r="C243" i="17"/>
  <c r="C226" i="17"/>
  <c r="F17" i="20"/>
  <c r="G33" i="18"/>
  <c r="G35" i="18"/>
  <c r="F97" i="17"/>
  <c r="F93" i="17"/>
  <c r="F84" i="17"/>
  <c r="F122" i="17"/>
  <c r="F20" i="17"/>
  <c r="F110" i="17"/>
  <c r="F106" i="17"/>
  <c r="E106" i="17"/>
  <c r="G110" i="20"/>
  <c r="D142" i="20"/>
  <c r="F145" i="20"/>
  <c r="F142" i="20"/>
  <c r="F20" i="20"/>
  <c r="G292" i="20"/>
  <c r="G285" i="20"/>
  <c r="I285" i="20"/>
  <c r="I282" i="20"/>
  <c r="G48" i="18"/>
  <c r="G72" i="18"/>
  <c r="F215" i="17"/>
  <c r="E72" i="18"/>
  <c r="D215" i="17"/>
  <c r="G484" i="17"/>
  <c r="G476" i="17"/>
  <c r="G122" i="17"/>
  <c r="H123" i="20"/>
  <c r="E69" i="20"/>
  <c r="F529" i="17"/>
  <c r="F518" i="17"/>
  <c r="E518" i="17"/>
  <c r="E17" i="17"/>
  <c r="E14" i="17"/>
  <c r="L16" i="20"/>
  <c r="E630" i="17"/>
  <c r="E621" i="17"/>
  <c r="C40" i="20"/>
  <c r="C22" i="20" s="1"/>
  <c r="E116" i="18"/>
  <c r="D407" i="17"/>
  <c r="F121" i="17"/>
  <c r="F19" i="17" s="1"/>
  <c r="H71" i="14"/>
  <c r="G611" i="17"/>
  <c r="M248" i="20"/>
  <c r="C69" i="20"/>
  <c r="K98" i="20"/>
  <c r="K68" i="20"/>
  <c r="H110" i="20"/>
  <c r="H473" i="17"/>
  <c r="L17" i="20"/>
  <c r="L14" i="20"/>
  <c r="J269" i="20"/>
  <c r="J248" i="20"/>
  <c r="H16" i="20"/>
  <c r="C200" i="20"/>
  <c r="F622" i="17"/>
  <c r="E241" i="20"/>
  <c r="E225" i="20"/>
  <c r="G630" i="17"/>
  <c r="G621" i="17"/>
  <c r="E139" i="18"/>
  <c r="D507" i="17"/>
  <c r="E26" i="22"/>
  <c r="D102" i="20"/>
  <c r="D98" i="20" s="1"/>
  <c r="D68" i="20" s="1"/>
  <c r="G25" i="22"/>
  <c r="G26" i="22"/>
  <c r="F102" i="20"/>
  <c r="F98" i="20"/>
  <c r="F68" i="20"/>
  <c r="G139" i="18"/>
  <c r="F507" i="17"/>
  <c r="D473" i="17"/>
  <c r="D19" i="20"/>
  <c r="I241" i="20"/>
  <c r="I225" i="20"/>
  <c r="G74" i="22"/>
  <c r="F311" i="20"/>
  <c r="F306" i="20"/>
  <c r="F282" i="20"/>
  <c r="M24" i="18"/>
  <c r="L74" i="17"/>
  <c r="G211" i="20"/>
  <c r="G20" i="20"/>
  <c r="F367" i="17"/>
  <c r="F355" i="17"/>
  <c r="G282" i="20"/>
  <c r="G16" i="20"/>
  <c r="G473" i="17"/>
  <c r="G17" i="17"/>
  <c r="G28" i="20"/>
  <c r="D20" i="20"/>
  <c r="D14" i="20"/>
  <c r="D133" i="20"/>
  <c r="F104" i="17"/>
  <c r="C28" i="20"/>
  <c r="E16" i="17"/>
  <c r="F14" i="17"/>
  <c r="F16" i="20"/>
  <c r="F16" i="17"/>
  <c r="F28" i="20"/>
  <c r="G201" i="20"/>
  <c r="F14" i="20"/>
  <c r="D19" i="17"/>
  <c r="I16" i="20"/>
  <c r="F133" i="20"/>
  <c r="F112" i="6"/>
  <c r="E246" i="17"/>
  <c r="E243" i="17"/>
  <c r="E226" i="17"/>
  <c r="D141" i="6"/>
  <c r="C316" i="17"/>
  <c r="C313" i="17"/>
  <c r="C260" i="17"/>
  <c r="F99" i="6"/>
  <c r="E214" i="17"/>
  <c r="E211" i="17"/>
  <c r="E103" i="17"/>
  <c r="G192" i="6"/>
  <c r="H186" i="6"/>
  <c r="G406" i="17"/>
  <c r="G403" i="17"/>
  <c r="G352" i="17"/>
  <c r="G193" i="6"/>
  <c r="G23" i="6"/>
  <c r="G167" i="6"/>
  <c r="K99" i="6"/>
  <c r="J214" i="17"/>
  <c r="J211" i="17"/>
  <c r="J103" i="17"/>
  <c r="M186" i="6"/>
  <c r="L406" i="17"/>
  <c r="L403" i="17"/>
  <c r="L352" i="17"/>
  <c r="E133" i="6"/>
  <c r="G126" i="6"/>
  <c r="K49" i="20"/>
  <c r="K22" i="20"/>
  <c r="K13" i="20"/>
  <c r="D49" i="20"/>
  <c r="D22" i="20"/>
  <c r="D13" i="20"/>
  <c r="L49" i="20"/>
  <c r="L22" i="20"/>
  <c r="L13" i="20"/>
  <c r="G49" i="20"/>
  <c r="G22" i="20"/>
  <c r="G13" i="20"/>
  <c r="F195" i="6"/>
  <c r="E432" i="17"/>
  <c r="E429" i="17"/>
  <c r="E411" i="17"/>
  <c r="E22" i="20"/>
  <c r="E13" i="20"/>
  <c r="G65" i="6"/>
  <c r="E192" i="6"/>
  <c r="G155" i="6"/>
  <c r="D43" i="6"/>
  <c r="C73" i="17"/>
  <c r="C70" i="17"/>
  <c r="H220" i="6"/>
  <c r="E232" i="6"/>
  <c r="D609" i="17"/>
  <c r="D605" i="17"/>
  <c r="D515" i="17"/>
  <c r="G93" i="6"/>
  <c r="G97" i="6"/>
  <c r="E164" i="6"/>
  <c r="F43" i="6"/>
  <c r="E73" i="17"/>
  <c r="E70" i="17"/>
  <c r="E29" i="17"/>
  <c r="M99" i="6"/>
  <c r="L214" i="17"/>
  <c r="L211" i="17"/>
  <c r="L103" i="17"/>
  <c r="G112" i="6"/>
  <c r="F246" i="17"/>
  <c r="F243" i="17"/>
  <c r="F226" i="17"/>
  <c r="E98" i="6"/>
  <c r="E165" i="6"/>
  <c r="H214" i="6"/>
  <c r="G506" i="17"/>
  <c r="G503" i="17"/>
  <c r="G472" i="17"/>
  <c r="G132" i="6"/>
  <c r="G214" i="6"/>
  <c r="F506" i="17"/>
  <c r="F503" i="17"/>
  <c r="F472" i="17"/>
  <c r="D186" i="6"/>
  <c r="C406" i="17"/>
  <c r="C403" i="17"/>
  <c r="C352" i="17"/>
  <c r="G21" i="6"/>
  <c r="E132" i="6"/>
  <c r="E141" i="6"/>
  <c r="D316" i="17"/>
  <c r="E161" i="6"/>
  <c r="E182" i="6"/>
  <c r="E214" i="6"/>
  <c r="D506" i="17"/>
  <c r="D503" i="17"/>
  <c r="D472" i="17"/>
  <c r="M43" i="6"/>
  <c r="L73" i="17"/>
  <c r="L70" i="17"/>
  <c r="D99" i="6"/>
  <c r="C214" i="17"/>
  <c r="C211" i="17"/>
  <c r="C103" i="17"/>
  <c r="G158" i="6"/>
  <c r="H195" i="6"/>
  <c r="G432" i="17"/>
  <c r="G429" i="17"/>
  <c r="G411" i="17"/>
  <c r="H232" i="6"/>
  <c r="G609" i="17"/>
  <c r="G605" i="17"/>
  <c r="G515" i="17"/>
  <c r="F141" i="6"/>
  <c r="E316" i="17"/>
  <c r="E313" i="17"/>
  <c r="E260" i="17"/>
  <c r="J49" i="20"/>
  <c r="I22" i="20"/>
  <c r="I13" i="20"/>
  <c r="I49" i="20"/>
  <c r="C29" i="17"/>
  <c r="H22" i="20"/>
  <c r="H49" i="20"/>
  <c r="M29" i="17"/>
  <c r="J29" i="17"/>
  <c r="G232" i="6"/>
  <c r="F609" i="17"/>
  <c r="F605" i="17"/>
  <c r="F515" i="17"/>
  <c r="I29" i="17"/>
  <c r="H29" i="17"/>
  <c r="H99" i="6"/>
  <c r="G214" i="17"/>
  <c r="G211" i="17"/>
  <c r="G103" i="17"/>
  <c r="F49" i="20"/>
  <c r="F22" i="20"/>
  <c r="F13" i="20"/>
  <c r="H118" i="6"/>
  <c r="H141" i="6"/>
  <c r="G316" i="17"/>
  <c r="G313" i="17"/>
  <c r="G260" i="17"/>
  <c r="D195" i="6"/>
  <c r="C432" i="17"/>
  <c r="C429" i="17"/>
  <c r="C411" i="17"/>
  <c r="F232" i="6"/>
  <c r="E609" i="17"/>
  <c r="E605" i="17"/>
  <c r="E515" i="17"/>
  <c r="G22" i="6"/>
  <c r="D232" i="6"/>
  <c r="C609" i="17"/>
  <c r="C605" i="17"/>
  <c r="C515" i="17"/>
  <c r="G19" i="6"/>
  <c r="E158" i="6"/>
  <c r="E18" i="6"/>
  <c r="E66" i="6"/>
  <c r="E21" i="6"/>
  <c r="E43" i="6" s="1"/>
  <c r="D73" i="17" s="1"/>
  <c r="D70" i="17" s="1"/>
  <c r="E168" i="6"/>
  <c r="G39" i="6"/>
  <c r="E194" i="6"/>
  <c r="E195" i="6" s="1"/>
  <c r="D432" i="17" s="1"/>
  <c r="D429" i="17" s="1"/>
  <c r="D411" i="17" s="1"/>
  <c r="G127" i="6"/>
  <c r="G66" i="6"/>
  <c r="G99" i="6" s="1"/>
  <c r="F214" i="17" s="1"/>
  <c r="F211" i="17" s="1"/>
  <c r="F103" i="17" s="1"/>
  <c r="K103" i="17"/>
  <c r="E110" i="6"/>
  <c r="E112" i="6"/>
  <c r="D246" i="17"/>
  <c r="D243" i="17"/>
  <c r="D226" i="17"/>
  <c r="G18" i="6"/>
  <c r="H19" i="6"/>
  <c r="H43" i="6"/>
  <c r="G73" i="17"/>
  <c r="G70" i="17"/>
  <c r="E95" i="6"/>
  <c r="G31" i="6"/>
  <c r="E186" i="6"/>
  <c r="D406" i="17"/>
  <c r="D403" i="17"/>
  <c r="D352" i="17"/>
  <c r="G195" i="6"/>
  <c r="F432" i="17"/>
  <c r="F429" i="17"/>
  <c r="F411" i="17"/>
  <c r="L29" i="17"/>
  <c r="G141" i="6"/>
  <c r="F316" i="17"/>
  <c r="F313" i="17"/>
  <c r="F260" i="17"/>
  <c r="E99" i="6"/>
  <c r="D214" i="17"/>
  <c r="D211" i="17"/>
  <c r="D103" i="17"/>
  <c r="G43" i="6"/>
  <c r="F73" i="17"/>
  <c r="F70" i="17"/>
  <c r="D29" i="17"/>
  <c r="E22" i="17"/>
  <c r="E13" i="17"/>
  <c r="C22" i="17"/>
  <c r="C13" i="17"/>
  <c r="G29" i="17"/>
  <c r="F29" i="17"/>
  <c r="G186" i="6" l="1"/>
  <c r="F406" i="17" s="1"/>
  <c r="F403" i="17" s="1"/>
  <c r="G104" i="17"/>
  <c r="D17" i="17"/>
  <c r="D14" i="17" s="1"/>
  <c r="D516" i="17"/>
  <c r="G68" i="20"/>
  <c r="G271" i="17"/>
  <c r="G243" i="17"/>
  <c r="G22" i="17" s="1"/>
  <c r="G226" i="17"/>
  <c r="E99" i="18"/>
  <c r="D317" i="17" s="1"/>
  <c r="D313" i="17" s="1"/>
  <c r="G570" i="17"/>
  <c r="G516" i="17" s="1"/>
  <c r="M14" i="20"/>
  <c r="E282" i="20"/>
  <c r="J40" i="20"/>
  <c r="C19" i="20"/>
  <c r="C13" i="20" s="1"/>
  <c r="C20" i="20"/>
  <c r="C14" i="20" s="1"/>
  <c r="H19" i="20"/>
  <c r="H13" i="20" s="1"/>
  <c r="G72" i="20"/>
  <c r="H248" i="20"/>
  <c r="J472" i="17"/>
  <c r="M98" i="20"/>
  <c r="K243" i="17"/>
  <c r="K22" i="17" s="1"/>
  <c r="K13" i="17" s="1"/>
  <c r="H211" i="17"/>
  <c r="J243" i="17"/>
  <c r="H20" i="17"/>
  <c r="H14" i="17" s="1"/>
  <c r="G14" i="17" s="1"/>
  <c r="I103" i="17"/>
  <c r="H103" i="17"/>
  <c r="K226" i="17"/>
  <c r="K260" i="17"/>
  <c r="I260" i="17"/>
  <c r="L472" i="17"/>
  <c r="M211" i="17"/>
  <c r="M243" i="17"/>
  <c r="M226" i="17" s="1"/>
  <c r="L243" i="17"/>
  <c r="H243" i="17"/>
  <c r="H226" i="17" s="1"/>
  <c r="M403" i="17"/>
  <c r="M352" i="17" s="1"/>
  <c r="I605" i="17"/>
  <c r="L516" i="17"/>
  <c r="M473" i="17"/>
  <c r="I515" i="17" l="1"/>
  <c r="I22" i="17"/>
  <c r="I13" i="17" s="1"/>
  <c r="L22" i="17"/>
  <c r="L13" i="17" s="1"/>
  <c r="L226" i="17"/>
  <c r="M22" i="17"/>
  <c r="M13" i="17" s="1"/>
  <c r="M103" i="17"/>
  <c r="J226" i="17"/>
  <c r="J22" i="17"/>
  <c r="J13" i="17" s="1"/>
  <c r="H22" i="17"/>
  <c r="H13" i="17" s="1"/>
  <c r="G13" i="17" s="1"/>
  <c r="M22" i="20"/>
  <c r="M13" i="20" s="1"/>
  <c r="M68" i="20"/>
  <c r="G69" i="20"/>
  <c r="G17" i="20"/>
  <c r="G14" i="20" s="1"/>
  <c r="J28" i="20"/>
  <c r="J22" i="20"/>
  <c r="J13" i="20" s="1"/>
  <c r="D260" i="17"/>
  <c r="D22" i="17"/>
  <c r="D13" i="17" s="1"/>
  <c r="G261" i="17"/>
  <c r="G20" i="17"/>
  <c r="F352" i="17"/>
  <c r="F22" i="17"/>
  <c r="F13" i="17" s="1"/>
</calcChain>
</file>

<file path=xl/sharedStrings.xml><?xml version="1.0" encoding="utf-8"?>
<sst xmlns="http://schemas.openxmlformats.org/spreadsheetml/2006/main" count="2844" uniqueCount="585">
  <si>
    <t xml:space="preserve">                       ROMÂNIA</t>
  </si>
  <si>
    <t xml:space="preserve">ANEXA 3 </t>
  </si>
  <si>
    <t xml:space="preserve">                       JUDEȚUL CONSTANȚA</t>
  </si>
  <si>
    <t>Avizat,</t>
  </si>
  <si>
    <t xml:space="preserve">              </t>
  </si>
  <si>
    <t>Se aprobă,</t>
  </si>
  <si>
    <t xml:space="preserve">                       CONSILIUL LOCAL</t>
  </si>
  <si>
    <t xml:space="preserve">Director Executiv </t>
  </si>
  <si>
    <t>PRIMAR</t>
  </si>
  <si>
    <t xml:space="preserve">                       MUNICIPIUL CONSTANȚA</t>
  </si>
  <si>
    <t>Direcția Financiară</t>
  </si>
  <si>
    <t>Vergil CHIȚAC</t>
  </si>
  <si>
    <t xml:space="preserve">                         NR. </t>
  </si>
  <si>
    <t>Georgeta GHEORGHE</t>
  </si>
  <si>
    <t xml:space="preserve"> </t>
  </si>
  <si>
    <t>Lista obiectivelor de investiţii pe anul 2024</t>
  </si>
  <si>
    <t xml:space="preserve">INV / C+M - mii lei </t>
  </si>
  <si>
    <t>Nr. crt</t>
  </si>
  <si>
    <t>Denumirea obiectivului data începerii execuţiei (luna, anul) nr. si data aprobării</t>
  </si>
  <si>
    <t>Valoarea totală inițială</t>
  </si>
  <si>
    <t>Valoarea totală actualizată</t>
  </si>
  <si>
    <t>Total realizări la 31.12.2023</t>
  </si>
  <si>
    <t>Rest de executat</t>
  </si>
  <si>
    <t>Total alocații 2024 (col. 7+13)</t>
  </si>
  <si>
    <t>Proiecte PNRR</t>
  </si>
  <si>
    <t>Fond mediu</t>
  </si>
  <si>
    <t>Proiecte FEDR</t>
  </si>
  <si>
    <t>Transfer de la bugetul local</t>
  </si>
  <si>
    <t>Buget local</t>
  </si>
  <si>
    <t>Buget de stat</t>
  </si>
  <si>
    <t>TOTAL GENERAL, din care:</t>
  </si>
  <si>
    <t>Construcții-Montaj</t>
  </si>
  <si>
    <t xml:space="preserve">A </t>
  </si>
  <si>
    <t xml:space="preserve">Obiective de investiţii  </t>
  </si>
  <si>
    <t>în continuare</t>
  </si>
  <si>
    <t>B</t>
  </si>
  <si>
    <t>noi</t>
  </si>
  <si>
    <t>C</t>
  </si>
  <si>
    <t>Dotări și alte cheltuieli</t>
  </si>
  <si>
    <t xml:space="preserve"> de investiţii </t>
  </si>
  <si>
    <r>
      <t xml:space="preserve">C A P I T O L U L   51   </t>
    </r>
    <r>
      <rPr>
        <b/>
        <u/>
        <sz val="11"/>
        <rFont val="Times New Roman CE"/>
        <charset val="238"/>
      </rPr>
      <t xml:space="preserve"> AUTORITĂŢI  PUBLICE ŞI ACȚIUNI EXTERNE</t>
    </r>
  </si>
  <si>
    <t>mii lei</t>
  </si>
  <si>
    <t>Total, din care:</t>
  </si>
  <si>
    <t xml:space="preserve">Obiective de investiţii </t>
  </si>
  <si>
    <t xml:space="preserve"> ”Reabilitare, modernizare și dotare clădire administrativă - Servicii control”  (DDFE)</t>
  </si>
  <si>
    <t>01.01</t>
  </si>
  <si>
    <t>HCL nr. 55/2023</t>
  </si>
  <si>
    <t>”Reabilitare, modernizare și dotare sediu serviciu operativ rutier și ordine publică” (DDFE)</t>
  </si>
  <si>
    <t>HCL nr. 494/2023</t>
  </si>
  <si>
    <t>”Reabilitare, modernizare și dotare clădire pregătire fizică, vestiare - sală sport” (DDFE)</t>
  </si>
  <si>
    <t>”Creșterea eficienței energetice a imobilului Casa Căsătoriilor, Constanța” (DDFE)</t>
  </si>
  <si>
    <t>HCL nr. 241/2023</t>
  </si>
  <si>
    <t>”Creșterea eficienței energetice a clădirilor rezidențiale din Municipiul Constanța, zona Casa de Cultură – blocurile L48, L49, L50” (DDFE)</t>
  </si>
  <si>
    <t>HCL  141/2022, HCL 369/2022, HCL 536/2023</t>
  </si>
  <si>
    <t>”Creșterea eficienței energetice a clădirilor rezidențiale din Municipiul Constanța, zona Badea Cârțan – blocurile K9, K10, K13, K14, K15”(DDFE)</t>
  </si>
  <si>
    <t>HCL  135/2022, HCL 368/2022, HCL 195/2023</t>
  </si>
  <si>
    <t>”Creșterea eficienței energetice a clădirilor rezidențiale din Municipiul Constanța, zona Badea Cârțan – blocurile K11, K12” (DDFE)</t>
  </si>
  <si>
    <t>HCL  136/2022, HCL 597/2023</t>
  </si>
  <si>
    <t>”Creșterea eficienței energetice a clădirilor rezidențiale din Municipiul Constanța, zona Soveja – blocurile FT4, FT3A, FT3B” (DDFE)</t>
  </si>
  <si>
    <t>HCL  137/2022, HCL 412/2022, HCL 534/2023</t>
  </si>
  <si>
    <t xml:space="preserve">Dotări și alte cheltuieli </t>
  </si>
  <si>
    <t>de investiţii</t>
  </si>
  <si>
    <t>*studii şi proiecte</t>
  </si>
  <si>
    <t>*dotări</t>
  </si>
  <si>
    <t>* alte cheltuieli asimilate</t>
  </si>
  <si>
    <r>
      <t xml:space="preserve">C A P I T O L U L  61  </t>
    </r>
    <r>
      <rPr>
        <b/>
        <sz val="11"/>
        <rFont val="Times New Roman CE"/>
        <charset val="238"/>
      </rPr>
      <t xml:space="preserve"> ORDINE PUBLICĂ ŞI SIGURANŢĂ NAŢIONALĂ</t>
    </r>
  </si>
  <si>
    <t>* dotări</t>
  </si>
  <si>
    <t>*Alte cheltuieli asimilate investițiilor</t>
  </si>
  <si>
    <t>C A P I T O L U L  65</t>
  </si>
  <si>
    <t>INVATAMANT</t>
  </si>
  <si>
    <t>A</t>
  </si>
  <si>
    <t>”Creșterea eficienței energetice a imobilului Liceul Teoretic Traian, Constanța” (DDFE)</t>
  </si>
  <si>
    <t>HCL 106/2020, HCL 486/2022, HCL 248/2023, HCL 527/2023</t>
  </si>
  <si>
    <t>„Creșterea eficienței energetice a imobilului Liceul Teoretic Decebal, Constanta” (DDFE)</t>
  </si>
  <si>
    <t>HCL 107/2020; HCL 350/2022, HCL 260/2023, HCL 531/2023</t>
  </si>
  <si>
    <t>„Reabilitarea, modernizarea și dotarea Liceului Tehnologic Dimitrie Leonida, Constanta” (DDFE)</t>
  </si>
  <si>
    <t>HCL 275/2019, HCL 18/2021, HCL 430/2021</t>
  </si>
  <si>
    <t>”Creșterea eficienței energetice a imobilului Liceul Tehnologic Tomis - corp Liceu” (DDFE)</t>
  </si>
  <si>
    <t>HCL  535/2023</t>
  </si>
  <si>
    <t>”Creșterea eficienței energetice a imobilului Liceul Tehnologic Tomis - corp Cantină și corp Ateliere” (DDFE)</t>
  </si>
  <si>
    <t>HCL  242/2023</t>
  </si>
  <si>
    <t>”Creșterea eficienței energetice a imobilului Colegiul Național Pedagogic ”Constantin Brătescu”, Constanța” (DDFE)</t>
  </si>
  <si>
    <t>HCL  138/2022, HCL 39/2023</t>
  </si>
  <si>
    <t>„Creșterea eficienței energetice a imobilului Liceul Teoretic ”Lucian Blaga”, Constanța” (DDFE)</t>
  </si>
  <si>
    <t>HCL  247/2023</t>
  </si>
  <si>
    <t>”Creșterea eficienței energetice a imobilului Școala Gimnazială nr. 33 Anghel Saligny, Constanța” (DDFE)</t>
  </si>
  <si>
    <t>HCL  194/2023</t>
  </si>
  <si>
    <t>”Creșterea eficienței energetice a imobilului Școala Gimnazială nr. 22 I. C. Brătianu, Constanța” (DDFE)</t>
  </si>
  <si>
    <t>HCL 413/2023</t>
  </si>
  <si>
    <t>”Creșterea eficienței energetice a imobilului Liceul Teoretic George Călinescu, Constanța” (DDFE)</t>
  </si>
  <si>
    <t>HCL 412/2023</t>
  </si>
  <si>
    <t>"Creșterea eficienței energetice a imobilului Liceului Tehnologic Dimitrie Leonida, Constanta (corp liceu)" (DDFE)</t>
  </si>
  <si>
    <t>HCL 335/2023</t>
  </si>
  <si>
    <t>”Reabilitare clădire Colegiul Naţional Mihai Eminescu" (DDFE)</t>
  </si>
  <si>
    <t>HCL  137/2023</t>
  </si>
  <si>
    <t>"Reabilitare Școala gimnazială nr.7  Remus Opreanu, Constanța" (DDFE)</t>
  </si>
  <si>
    <t>HCL  537/2023</t>
  </si>
  <si>
    <t>”Reabilitarea, modernizarea și dotarea Grădiniței cu program prelungit LUMEA COPIILOR, Constanța” (DDFE)</t>
  </si>
  <si>
    <t>HCL  599/2023</t>
  </si>
  <si>
    <t>”Reabilitarea, modernizarea și dotarea Grădiniței cu program prelungit STELUȚELE MĂRII, Constanța”(DDFE)</t>
  </si>
  <si>
    <t>HCL  540/2023</t>
  </si>
  <si>
    <t>”Reabilitarea, modernizarea și dotarea Grădiniței cu program prelungit ”CĂSUȚA DE TURTĂ DULCE”, Constanța” (DDFE)</t>
  </si>
  <si>
    <t>HCL  600/2023</t>
  </si>
  <si>
    <t>”Creșterea eficienței energetice a imobilului Școala Gimnazială nr. 23, Constanța” (DDFE)</t>
  </si>
  <si>
    <t>HCL 541/2023</t>
  </si>
  <si>
    <t>”Creșterea eficienței energetice a imobilului Școala Gimnazială nr. 14, Palazu Mare Constanța” (DDFE)</t>
  </si>
  <si>
    <t>HCL  188/2023</t>
  </si>
  <si>
    <t>”Creșterea eficienței energetice a imobilului Grădinița cu program prelungit nr. 53, Constanța” (DDFE)</t>
  </si>
  <si>
    <t>HCL  240/2023</t>
  </si>
  <si>
    <t>”Creșterea eficienței energetice a imobilului Școala Gimnazială nr. 24 Ion Jalea, Constanța” (DDFE)</t>
  </si>
  <si>
    <t>HCL  187/2023</t>
  </si>
  <si>
    <t>„Creșterea eficienței energetice a imobilului Școala Gimnazială nr. 37, Constanța” (DDFE)</t>
  </si>
  <si>
    <t>HCL  533/2023</t>
  </si>
  <si>
    <t>”Creșterea eficienței energetice a imobilului Școala Gimnazială nr. 36 Dimitrie Știubei, Constanța” (DDFE)</t>
  </si>
  <si>
    <t>HCL 415/2023</t>
  </si>
  <si>
    <t>”Creșterea eficienței energetice a imobilului Grădinița cu program prelungit nr.45” (DDFE)</t>
  </si>
  <si>
    <t>HCL  231/2023</t>
  </si>
  <si>
    <t>”Creșterea eficienței energetice a imobilului Școala Gimnazială nr. 10 Mihail Koiciu, Constanța” (DDFE)</t>
  </si>
  <si>
    <t>HCL  414/2023</t>
  </si>
  <si>
    <t>”Creșterea eficienței energetice a imobilului Școala Gimnazială nr. 6 Nicolae Titulescu, Constanța” (DDFE)</t>
  </si>
  <si>
    <t>HCL  416/2023</t>
  </si>
  <si>
    <t>* Dotari</t>
  </si>
  <si>
    <r>
      <t xml:space="preserve">                  </t>
    </r>
    <r>
      <rPr>
        <b/>
        <u/>
        <sz val="10.5"/>
        <rFont val="Times New Roman CE"/>
        <charset val="238"/>
      </rPr>
      <t>C A P I T O L U L  6</t>
    </r>
    <r>
      <rPr>
        <b/>
        <sz val="10.5"/>
        <rFont val="Times New Roman CE"/>
        <charset val="238"/>
      </rPr>
      <t>6</t>
    </r>
  </si>
  <si>
    <t>SĂNĂTATE</t>
  </si>
  <si>
    <t>„Creșterea eficienței energetice a imobilului Spitalul Municipal, Constanta” (DDFE)</t>
  </si>
  <si>
    <t>HCL  422/2023</t>
  </si>
  <si>
    <t>”Policlinica Municipală, specializarea cardiologie și oncologie, Constanța - spital nou” (DDFE)</t>
  </si>
  <si>
    <t>HCL  541/2023</t>
  </si>
  <si>
    <t xml:space="preserve">Dotări si alte cheltuieli </t>
  </si>
  <si>
    <t>*studii și proiecte</t>
  </si>
  <si>
    <t>*alte cheltuieli asimilate investițiilor</t>
  </si>
  <si>
    <t>C A P I T O L U L  67</t>
  </si>
  <si>
    <t>CULTURA, RECREERE SI RELIGIE</t>
  </si>
  <si>
    <t>”Creșterea eficienței energetice a imobilului Teatrul de Stat, Constanta” (DDFE)</t>
  </si>
  <si>
    <t>HCL 202/2018, HCL 331/2019, HCL 185/2021</t>
  </si>
  <si>
    <t>”Lucrări  tehnico – edilitare, inclusiv proiectare, aferente obiectivului de investiții ”Sală de sport Polivalentă 5000 locuri – zona Badea Cârțan” (DDFE)</t>
  </si>
  <si>
    <t>HCL 148/2021</t>
  </si>
  <si>
    <t>”Proiectare și execuție desființare construcții existente pe amplasamentul ”Complexului Stadion Gheorghe Hagi” (DDFE)</t>
  </si>
  <si>
    <t>HCL 348/2021, HCL 349/2022, HCL 359/2022, HCL 441/2022</t>
  </si>
  <si>
    <t>”Construire Stadion Gheorghe Hagi, str. Primăverii nr. 2 - 11” (DDFE)</t>
  </si>
  <si>
    <t>”Reamenajare, modernizare și modificare fațadă Galeria de Artă” (DDFE)</t>
  </si>
  <si>
    <t>HCL 237/2023</t>
  </si>
  <si>
    <t>”Perdea Verde” (DDFE)</t>
  </si>
  <si>
    <t xml:space="preserve">        </t>
  </si>
  <si>
    <t>HCL 485/2022</t>
  </si>
  <si>
    <t>”Îmbunătățirea mediului urban în zona Coiciu - Casa de Cultură” (DGGSP)</t>
  </si>
  <si>
    <t>HCL 259/2022, HCL 283/2023</t>
  </si>
  <si>
    <t>”Sistematizare și amenajare de spații verzi publice, parcări de reședință și dotări conexe între zona cimitir Anadalchioi și bl. 55, 57, 59 - strada Soveja ” (DGGSP)</t>
  </si>
  <si>
    <t>HCL 518/2023</t>
  </si>
  <si>
    <t>”Amenajare spațiu public situat la intersecția str. Soveja cu str. Ștefăniță Vodă – amenajare peisagistică – parc Soveja si reconfigurare circulație ” (DGGSP)</t>
  </si>
  <si>
    <t>HCL 552/2023</t>
  </si>
  <si>
    <t>”Reamenajarea spațiului public din zona Teatrului Național de Operă și Balet Oleg Danovski”  (DGGSP)</t>
  </si>
  <si>
    <t>”Reamenajarea spațiului public din zona Parcului Gării” (DGGSP)</t>
  </si>
  <si>
    <t>01.01.</t>
  </si>
  <si>
    <t>HCL 384/31.08.2022</t>
  </si>
  <si>
    <t>*dotări independente</t>
  </si>
  <si>
    <t>C A P I T O L U L  68</t>
  </si>
  <si>
    <t xml:space="preserve">ASIGURĂRI ŞI ASISTENŢĂ   SOCIALĂ    </t>
  </si>
  <si>
    <t>C A P I T O L U L  70  LOCUINŢE, SERVICII ŞI DEZVOLTARE PUBLICĂ</t>
  </si>
  <si>
    <t xml:space="preserve">Total,  din care: </t>
  </si>
  <si>
    <t>”Executia lucrarilor de reamenajare a locurilor de joaca existente in Municipiul Constanta” (DGGSP)</t>
  </si>
  <si>
    <t>HCL 168/30.05.2016, HCL 273/31.07.2019, HCL 236/2022</t>
  </si>
  <si>
    <t>”Extinderea rețelei electrice conform Ord 36/2019, de interes public, Cartier Veterani - sector 1.1, municipiul Constanța” (DGUP)</t>
  </si>
  <si>
    <t>HCL 193/2021</t>
  </si>
  <si>
    <t>”Deviere instalații electrice, Îmbunătățire mobilitate urbană, Bd 1 Mai - șos. Mangaliei” (DGUP)</t>
  </si>
  <si>
    <t>HCL 506/2022</t>
  </si>
  <si>
    <t xml:space="preserve"> Programul de dezvoltare edilitara a municipiului Constanta - zona Faleza Nord</t>
  </si>
  <si>
    <t xml:space="preserve"> HCL 113/16.07.2010, Decizie civilă nr. 529/20.06.2012 a Tribunalului Constanţa, Secţia II Civilă şi Decizie civilă nr. 1517/13.12.2012  Secţia II Civilă de Contencios Administrativ şi Fiscal</t>
  </si>
  <si>
    <t>“Creșterea siguranței în Municipiul Constanța - SAFE CITY 20, prin realizarea unui sistem operațional integrat de monitorizare” (DDFE)</t>
  </si>
  <si>
    <t>HCL 105/2023</t>
  </si>
  <si>
    <t>„Consolidare si restaurare CAZINO CONSTANTA: Lucrari exterioare – reabilitare platforma terasa, zid de aparare si balustrade B-dul Elisabeta nr. 4, Municipiul Constanta, judet Constanta ” (DDFE)</t>
  </si>
  <si>
    <t>HCL 496/2023</t>
  </si>
  <si>
    <t>”Îmbunătățirea mediului urban în zona Delfinariu - Faleză Nord” (DDFE)</t>
  </si>
  <si>
    <t>HCL 539/2023</t>
  </si>
  <si>
    <t>”Îmbunătățirea mediului urban în zona Compozitori” (DDFE)</t>
  </si>
  <si>
    <t>”Amenajare integrată a zonei cuprinsă între accesul către Plaja Modern, strada Lebedei și taluz - Crearea de facilități pentru evenimente culturale și pentru petrecerea timpului liber, zone de promenadă și parcaje (execuție lucrări, proiectare, altele)” (DGGSP)</t>
  </si>
  <si>
    <t>HCL 61/2023</t>
  </si>
  <si>
    <t>”Pasarelă pietonală peste liniile de cale ferată între cartierul Km 4-5 și cartierul Faleză Sud - Poarta 6, în zona Liceului Lucian Blaga”</t>
  </si>
  <si>
    <t>HCL 60/2023</t>
  </si>
  <si>
    <t xml:space="preserve">Dotări şi alte cheltuieli </t>
  </si>
  <si>
    <t xml:space="preserve">de investiţii </t>
  </si>
  <si>
    <t>C A P I T O L U L  74</t>
  </si>
  <si>
    <t>PROTECŢIA MEDIULUI</t>
  </si>
  <si>
    <t>”Înființare centru integrat de colectare separată prin aport voluntar în municipiul Constanța” (DGGSP)</t>
  </si>
  <si>
    <t>HCL</t>
  </si>
  <si>
    <t>”Înființare centre de colectare prin aport voluntar în municipiul Constanța” (DGGSP)</t>
  </si>
  <si>
    <t>C A P I T O L U L  80</t>
  </si>
  <si>
    <t>ACȚIUNI GENERALE ECONOMICE, COMERCIALE ȘI DE MUNCĂ</t>
  </si>
  <si>
    <t>”Incubator de afaceri Constanța” (DDFE)</t>
  </si>
  <si>
    <t>HCL  262/2018, HCL 149/2021</t>
  </si>
  <si>
    <t>C A P I T O L U L  81</t>
  </si>
  <si>
    <t>COMBUSTIBILI ȘI ENERGIE</t>
  </si>
  <si>
    <t>”Reabilitarea rețelelor termice primare/transport a energiei termice din municipiul Constanța - etapa I (execuție lucrări, inclusiv serviciul de proiectare)” (DGUP)</t>
  </si>
  <si>
    <t>HCL 129/2021</t>
  </si>
  <si>
    <t>”Reabilitarea rețelelor termice primare/transport a energiei termice din municipiul Constanța - etapa II (execuție lucrări, inclusiv serviciul de proiectare)” (DGUP)</t>
  </si>
  <si>
    <t>HCL 361/2023</t>
  </si>
  <si>
    <t>”Reabilitarea rețelelor de termoficare din municipiul Constanța - etapa III (execuție lucrări, inclusiv serviciul de proiectare - PAC, PT, DDE, asistență tehnică, altele)” (DGUP)</t>
  </si>
  <si>
    <t>HCL 346/2021</t>
  </si>
  <si>
    <t>”Reabilitarea rețelelor termice secundare și contorizarea la nivel de scară pentru municipiul Constanța - etapa IV ” (DGUP)</t>
  </si>
  <si>
    <t>HCL 133/2022, HCL 154/2022, HCL 303/2022</t>
  </si>
  <si>
    <t>”Sursă de producție energie utilă termică și electrică prin cogenerare de înaltă eficiență, în municipiul Constanța” - proiectare și execuție, supervizare, cote, taxe ” (DGUP)</t>
  </si>
  <si>
    <t xml:space="preserve">HCL </t>
  </si>
  <si>
    <t>C A P I T O L U L  84</t>
  </si>
  <si>
    <t>TRANSPORTURI</t>
  </si>
  <si>
    <t>total din care:</t>
  </si>
  <si>
    <t>”Îmbunătățirea mobilității în municipiul Constanța, între gara CFR și stațiunea Mamaia” (DDFE)</t>
  </si>
  <si>
    <t>cf. HCL 100/28.03.2019, HCL 413/14.10.2019, HCL 95/2021, HCL 419/2023, HCL 528/2023</t>
  </si>
  <si>
    <t>”Acces și mobilitate pietonală în zona centrală a municipiului Constanța”(DDFE)</t>
  </si>
  <si>
    <t>cf. HCL 99/28.03.2019, HCL494/18.11.2019, HCL 187/2021, HCL 420/2023, HCL 530/2023</t>
  </si>
  <si>
    <t>”Îmbunătățirea mobilității în municipiul Constanța, zona bd. 1 Mai - Șoseaua Mangaliei” (DDFE)</t>
  </si>
  <si>
    <t>cf. HCL 98/28.03.2019, HCL 349/2021, HCL 421/2023, HCL 529/2023</t>
  </si>
  <si>
    <t>”Lucrări de investiții și modernizare bd. Mamaia, sectorul cuprins între bd. Tomis și str. Soveja/Zorelelor, municipiul Constanța” (DGGSP)</t>
  </si>
  <si>
    <t>cf. HCL nr. 68/26.03.2021</t>
  </si>
  <si>
    <t>”Strada Alexandru Alexandridi - tronson str. Govora - str. Otopeni” (DGGSP)</t>
  </si>
  <si>
    <t>cf. HCL nr. 543/2019</t>
  </si>
  <si>
    <t>”Strada Prelungirea Eduard Caudella - tronson str. Rapsodiei - str. Constantin Bobescu” (DGGSP)</t>
  </si>
  <si>
    <t>”Strada Păpădiei” (DGGSP)</t>
  </si>
  <si>
    <t>HCL 81/2022</t>
  </si>
  <si>
    <t>”Strada Salviei” (DGGSP)</t>
  </si>
  <si>
    <t>”Strada Socului” (DGGSP)</t>
  </si>
  <si>
    <t>”Lucrări de intervenții și modernizare b-dul. Mamaia, pe sectorul cuprins între str. Soveja/Zorelelor și sensul giratoriu Pescărie intersecție cu Aleea Studenților, municipiul Constanța” (DGGSP)</t>
  </si>
  <si>
    <t>HCL 263/2022</t>
  </si>
  <si>
    <t>”Studii tehnice pentru fluidizarea circulatiei în perimetrul cuprins între sens giratoriu Hotel Oxford, bd. Al. Lăpușneanu și bd. Aurel Vlaicu, municipiul Constanța” (DGGSP)</t>
  </si>
  <si>
    <t>HCL 493/2022</t>
  </si>
  <si>
    <t>”Strada Smaraldului - etapa 1” (DGGSP)</t>
  </si>
  <si>
    <t>HCL 271/2021, HCL 492/2022</t>
  </si>
  <si>
    <t>”Îmbunătățirea mobilității în municipiul Constanța, B-dul I. C. Brătianu” (DDFE)</t>
  </si>
  <si>
    <t>HCL 538/2023</t>
  </si>
  <si>
    <t>”Lucrări de investiții drumuri publice/ alei/trotuare cartier Veterani din municipiul  Constanta” str. Lt. Col. Ion Jalea - etapa 1(DGGSP)</t>
  </si>
  <si>
    <t>HCL 420/2022</t>
  </si>
  <si>
    <t>”Modernizare DC 89 - str. Amsterdam, realizare arteră adiacentă - rută ocolitoare, din municipiul Constanța (execuție lucrări, proiectare, altele)” (DGGSP)</t>
  </si>
  <si>
    <t>HCL 234/26.05.2023</t>
  </si>
  <si>
    <t>”Bulevardul Madrid” din municipiul Constanța” (execuție lucrări, proiectare, altele)” (DGGSP)</t>
  </si>
  <si>
    <t>HCL 652/2022</t>
  </si>
  <si>
    <t>”Amenajare parcare supraetajata hibrida cu sistem automatizat de parcare pe aleea Argeș, mun. Constanta” (DGGSP)</t>
  </si>
  <si>
    <t>HCL 376/2023</t>
  </si>
  <si>
    <t>”Amenajare peisagistică și parcaje aferente zonei terenurilor de tenis din Cartierul Tomis Nord, Aleea Capidava/Aleea Argeș, municipiul Constanța” (DGGSP)</t>
  </si>
  <si>
    <t>HCL 381/2022</t>
  </si>
  <si>
    <t>”Lucrări de intervenții și modernizare a intersecției bd. Mamaia cu bd. Aurel Vlaicu, municipiul Constanța” (DGGSP)</t>
  </si>
  <si>
    <t>HCL 494/2022</t>
  </si>
  <si>
    <t>”Strada Cuarțului - etapa 1” (DGGSP)</t>
  </si>
  <si>
    <t>C A P I T O L U L   87</t>
  </si>
  <si>
    <t>ALTE ACȚIUNI ECONOMICE</t>
  </si>
  <si>
    <t>Director executiv  ,</t>
  </si>
  <si>
    <t>PREȘEDINTE ȘEDINȚĂ,</t>
  </si>
  <si>
    <t>Șef Serviciu urmărire execuție lucrări,</t>
  </si>
  <si>
    <t>Ani Viorica MERLĂ</t>
  </si>
  <si>
    <t>Marian FILIP</t>
  </si>
  <si>
    <t>CONTRASEMNEAZĂ</t>
  </si>
  <si>
    <t>ORDONATOR PRINCIPAL DE CREDITE,</t>
  </si>
  <si>
    <t>SECRETAR GENERAL</t>
  </si>
  <si>
    <t>Inspector,</t>
  </si>
  <si>
    <t>VERGIL CHIȚAC</t>
  </si>
  <si>
    <t xml:space="preserve">FULVIA - ANTONELA DINESCU </t>
  </si>
  <si>
    <t>Denisa Maria ION</t>
  </si>
  <si>
    <t>ANEXA 3</t>
  </si>
  <si>
    <t xml:space="preserve">               NR.</t>
  </si>
  <si>
    <t>Listă de studii și proiecte pe anul 2024</t>
  </si>
  <si>
    <t>CAP. 51   AUTORITĂŢI  PUBLICE ŞI ACȚIUNI EXTERNE</t>
  </si>
  <si>
    <t>Nr. crt.</t>
  </si>
  <si>
    <t>Denumirea proiectului</t>
  </si>
  <si>
    <t>Solicitare / Responsabil</t>
  </si>
  <si>
    <t xml:space="preserve">Valoare totală initiala </t>
  </si>
  <si>
    <t xml:space="preserve">Valoarea totală actualizată </t>
  </si>
  <si>
    <t>Decontat pâna la 31.12. 2023</t>
  </si>
  <si>
    <t xml:space="preserve">Rest de executat </t>
  </si>
  <si>
    <t>Alocatie 2024, din care:</t>
  </si>
  <si>
    <t>Buget stat</t>
  </si>
  <si>
    <t xml:space="preserve">”Elaborare documentație tehnico-economică a obiectivului de investiții ”Reabilitare, modernizare și dotare sediu serviciu operativ rutier și ordine publică” (DALI, PT, DTAC, studii, expertize, documentații avize, asistență tehnică din partea proiectantului, altele)” </t>
  </si>
  <si>
    <t>Direcția dezvoltare și fonduri europene</t>
  </si>
  <si>
    <t>01.30</t>
  </si>
  <si>
    <t>“Riviera Tomis- între Stațiunea Mamaia și Portul Tomis Constanta” (elaborare documente tehnico economice cf. HG 907/2016 cu modificările și completările ulterioare)</t>
  </si>
  <si>
    <t>”Elaborarea documentației tehnico economice (studii de teren, expertiză tehnică, audit energetic, DALI, PT, PAC, avize, altele) aferentă proiectului Creșterea eficienței energetice a clădirilor rezidențiale din Municipiul Constanța, zona Trocadero – blocurile LE31, LE32, LE33”</t>
  </si>
  <si>
    <t>”Elaborarea documentației tehnico economice (studii de teren, expertiză tehnică, audit energetic, DALI, PT, PAC, avize, altele) aferentă proiectului Creșterea eficienței energetice a clădirilor rezidențiale din Municipiul Constanța, zona Centru – blocurile VILA CFR, SNC”</t>
  </si>
  <si>
    <t>”Elaborarea documentației tehnico economice (studii de teren, expertiză tehnică, audit energetic, DALI, PT, PAC, avize, altele) aferentă proiectului ”Creșterea eficienței energetice a clădirilor rezidențiale din Municipiul Constanța, zona Abator - blocul S6, zona Viile Noi CET - blocul ICH și zona Gară - blocul L5”</t>
  </si>
  <si>
    <t>”Elaborarea documentației tehnico economice (studii de teren, expertiză tehnică, audit energetic, DALI, PT, PAC, avize, altele) aferentă proiectului ”Creșterea eficienței energetice a clădirilor rezidențiale din Municipiul Constanța, zona Centru - blocurile MK2, F1 și zona Inel II - blocurile IV23, PN6”</t>
  </si>
  <si>
    <t>”Elaborarea documentației tehnico economice (studii de teren, expertiză tehnică, audit energetic, DALI, PT, PAC, avize, altele) aferentă proiectului ”Creșterea eficienței energetice a clădirilor rezidențiale din Municipiul Constanța, zona Abator – blocul A (scările A1, A2, A3 și A4)”</t>
  </si>
  <si>
    <t>“Creşterea siguranţei în municipiul Constanţa – SAFE CITY 20 prin realizarea unui sistem operaţional integrat de monitorizare” (etapele SF, avize, altele)”</t>
  </si>
  <si>
    <t xml:space="preserve">”Construire locuințe sociale, zona industrială Palas, Constanța” </t>
  </si>
  <si>
    <t>”Actualizare/elaborare documentație tehnico-economică (expretiză tehnică, DALI, proiect tehnic pentru autorizarea lucrărilor, POE, PT și DE și altele, cerere de finanțare) aferentă obiectivului de investiții ”Îmbunătățirea mediului urban în zona Tomis Nord - Henri Coandă”</t>
  </si>
  <si>
    <t>”Elaborare documentație tehnico-economică (temă de proiectare, studii de teren - geotehnic și topografic, expertiză tehnică, studiu de trafic, studiu peisagistic, DALI, proiect tehnic pentru autorizarea lucrărilor, POE, PT și DE, altele, cerere de finanțare) aferentă obiectivului de investiții ”Îmbunătățirea mediului urban în Zona Inel II”</t>
  </si>
  <si>
    <t>”Elaborare documentație tehnico-economică (expretiză tehnică, studii de teren - geotehnic și topografic, studiu peisagistic, DALI, proiect tehnic pentru autorizarea lucrărilor, POE, PT și DE și altele, cerere de finanțare) aferentă obiectivului de investiții ”Îmbunătățirea mediului urban în zona Delfinariu - Faleză Nord”</t>
  </si>
  <si>
    <t>”Elaborare documentație tehnico-economică (temă de proiectare, studii de teren - geotehnic și topografic, SF - inclusiv studiu peisagistic, proiect tehnic pentru autorizarea lucrărilor, POE, PT și DE, altele, cerere de finanțare) aferentă obiectivului de investiții ”Perdea Verde”</t>
  </si>
  <si>
    <t>”Elaborare documentație tehnico-economică (expertiză tehnică, studii de teren - geotehnic și topografic, DALI, proiect tehnic pentru autorizarea lucrărilor, POE, PT și DE și altele) aferentă obiectivului de investiții ”Creșterea eficienței energetice a imobilului Casa Căsătoriilor, Constanța”</t>
  </si>
  <si>
    <t>”Elaborarea documentației tehnico economice (studii de teren, expertiză tehnică, audit energetic, DALI, PT, PAC, avize, altele) aferentă proiectului ”Creșterea eficienței energetice a clădirilor rezidențiale din Municipiul Constanța, zona Casa de Cultură – blocurile L48, L49, L50”</t>
  </si>
  <si>
    <t>”Elaborarea documentației tehnico economice (studii de teren, expertiză tehnică, audit energetic, DALI, PT, PAC, avize, altele) aferentă proiectului ”Creșterea eficienței energetice a clădirilor rezidențiale din Municipiul Constanța, zona Soveja – blocurile FT4, FT3A, FT3B”</t>
  </si>
  <si>
    <t>”Elaborarea documentației tehnico economice (studiu topografic, DALI, PT, PAC, avize, altele) aferentă proiectului ”Creșterea eficienței energetice a clădirilor rezidențiale din Municipiul Constanța, zona Badea Cârțan – blocurile K11, K12”</t>
  </si>
  <si>
    <t>”Elaborarea documentației tehnico economice (studiu topografic, DALI, PT, PAC, avize, altele) aferentă proiectului ”Creșterea eficienței energetice a clădirilor rezidențiale din Municipiul Constanța, zona Badea Cârțan – blocurile K9, K10, K13, K14, K15”</t>
  </si>
  <si>
    <t>”Elaborare documentatie tehnico-economică Studiu de Fezabilitate pentru obiectivul de investiții Rețea de canalizație subterană în municipiul Constanța - NET CITY”</t>
  </si>
  <si>
    <t>Direcția generală urbanism și patrimoniu</t>
  </si>
  <si>
    <t>”Programul local multianual de finanțare a proiectelor de regenerare urbană în municipiul Constanța” REACTIS</t>
  </si>
  <si>
    <t xml:space="preserve">”Elaborare Plan de Acțiune pentru Energie Durabilă și Climă (PAEDC) al municipiului Constanța” </t>
  </si>
  <si>
    <t>”Elaborare ghid estetică urbană în municipiul Constanța”</t>
  </si>
  <si>
    <t>”Elaborare documente tehnico - economice (SF, PT, altele) pentru reintroducere în patrimoniul turistic și cultural al terenului Palatului Regal Mamaia și a terenului și clădirii aferente Bar ”Orient”</t>
  </si>
  <si>
    <t>”Elaborarea documentației tehnico-economice (studii de teren, expertiză tehnică, audit energetic, DALI, PT, PAC, avize, altele) aferentă proiectului ”Consolidarea și reabilitarea clădirilor rezidențiale din Municipiul Constanța, zona Centru - blocurile M1, S5”</t>
  </si>
  <si>
    <t>”Elaborarea documentației tehnico economice (studii de teren, expertiză tehnică, audit energetic, DALI, PT, PAC, avize, altele) aferentă proiectului ”Consolidarea și reabilitarea clădirii rezidențiale din municipiul Constanța, zona Centru - bloc R5”</t>
  </si>
  <si>
    <t>”Elaborarea documentației tehnico economice (studii de teren, expertiză tehnică, audit energetic, DALI, PT, PAC, avize, altele) aferentă proiectului ”Consolidarea și reabilitarea clădirii rezidențiale din municipiul Constanța, zona Gară - bloc C2”</t>
  </si>
  <si>
    <t>”Serviciul expertiza privind siguranță și stabilitate maluri”</t>
  </si>
  <si>
    <t>”Elaborare studiu de fezabilitate pentru expropriere proiect utilitate publică”</t>
  </si>
  <si>
    <t xml:space="preserve">”Servicii de elaborare documentații tehnico – economice – etapa SF si documentații pentru obținerea avizelor/ acordurilor, proiectare și executie pentru obiectivul mixt  Desființare si construire, împrejmuire Cimitir Central” </t>
  </si>
  <si>
    <t>Direcția generală gestionare servicii publice</t>
  </si>
  <si>
    <t>”Servicii de consultanță în vederea întocmirii documentației pentru delegarea gestiunii de servicii și activități necesare exploatării și întreținerii cimitirelor umane din Municipiul Constanța ”</t>
  </si>
  <si>
    <t>”Actualizarea strategiei locale cu privire la dezvoltarea si funcționarea pe termen mediu si lung a serviciului de salubritate in mun. Constanta ”</t>
  </si>
  <si>
    <t>”Servicii de proiectare privind elaborare documentație tehnico - economică, faza SF si audit energetic, studii de specialitate (topografice , geotehnice), documentație obținere avize si acorduri conform CU, DTAC, PT, CS, DDE si servicii de asistenta tehnica pe parcursul execuției lucrărilor pentru obiectivul ,,Creșterea eficientei energetice a infrastructurii de iluminat public – Cartierul Veterani, mun. Constanta”</t>
  </si>
  <si>
    <t>TOTAL</t>
  </si>
  <si>
    <r>
      <t xml:space="preserve">                      </t>
    </r>
    <r>
      <rPr>
        <b/>
        <sz val="10.5"/>
        <rFont val="Times New Roman CE"/>
        <charset val="238"/>
      </rPr>
      <t xml:space="preserve">                                                                            CAP.61 ORDINE PUBLICĂ ŞI SIGURANŢĂ NAŢIONALĂ</t>
    </r>
    <r>
      <rPr>
        <sz val="10.5"/>
        <rFont val="Times New Roman CE"/>
        <charset val="238"/>
      </rPr>
      <t xml:space="preserve">  </t>
    </r>
  </si>
  <si>
    <t>Decontat pâna la 31.12. 2022</t>
  </si>
  <si>
    <t>Alocatie 2023, din care:</t>
  </si>
  <si>
    <t>CAP.65   ÎNVĂȚĂMÂNT</t>
  </si>
  <si>
    <t>”Elaborare documentație tehnico-economică (studii de teren - geotehnic și topografic, expertiză tehnică, audit energetic, DALI, PTE, PAC- altele, POE, CS, DDE , inclusiv asistență tehnică din partea proiectantului pe parcursul executării lucrărilor și altele) aferentă obiectivului de investiții ”Reabilitarea, modernizarea și dotarea Școlii Gimnaziale nr. 30 Gheorghe Țițeica, Constanța”</t>
  </si>
  <si>
    <t>”Elaborare documentație tehnico-economică (audit energetic, expertiză tehnică, studii de teren - geotehnic și topografic, DALI, proiect tehnic pentru autorizarea lucrărilor, POE, PT și DE  și altele, cerere de finanțare) aferentă obiectivului de investiții ”Reabilitarea, modernizarea și dotarea Grădiniței cu program prelungit nr. 6, Constanța”</t>
  </si>
  <si>
    <t>”Elaborare documentație tehnico-economică (audit energetic, expertiză tehnică, studii de teren - geotehnic și topografic, DALI, proiect tehnic pentru autorizarea lucrărilor, POE, PT și DE  și altele, cerere de finanțare) aferentă obiectivului de investiții ”Reabilitarea, modernizarea și dotarea Grădiniței cu program prelungit nr. 57, Constanța”</t>
  </si>
  <si>
    <t>”Elaborare documentație tehnico-economică (audit energetic, expertiză tehnică, studii de teren - geotehnic și topografic, DALI, proiect tehnic pentru autorizarea lucrărilor, POE, PT și DE  și altele, cerere de finanțare) aferentă obiectivului de investiții ”Reabilitarea, modernizarea și dotarea Grădiniței cu program prelungit AZUR, Constanța”</t>
  </si>
  <si>
    <t>”Elaborare documentație tehnico-economică (audit energetic, expertiză tehnică, studii de teren – geotehnic și topografic, DALI, proiect tehnic pentru autorizarea lucrărilor, POE, PT și DE, cerere de finanțare și altele) aferentă obiectivului de investiții ”Creșterea eficienței energetice a imobilului Liceul Tehnologic Gheorghe Miron Costin, Constanța - CORP LICEU, SALĂ SPORT ȘI CANTINĂ”</t>
  </si>
  <si>
    <t>”Elaborare documentație tehnico-economică (audit energetic, expertiză tehnică, studii de teren – geotehnic și topografic, DALI, proiect tehnic pentru autorizarea lucrărilor, POE, PT și DE, cerere de finanțare și altele) aferentă obiectivului de investiții ”Creșterea eficienței energetice a imobilului Liceul Tehnologic Gheorghe Miron Costin, Constanța - CORP CĂMIN”</t>
  </si>
  <si>
    <t>”Elaborare documentație tehnico-economică (audit energetic, expertiză tehnică, studii de teren – geotehnic și topografic, DALI, proiect tehnic pentru autorizarea lucrărilor, POE, PT și DE, cerere de finanțare și altele) aferentă obiectivului de investiții ”Creșterea eficienței energetice a imobilului Școala Gimnazială nr. 11, Dr. Constantin Angelescu, Constanța”</t>
  </si>
  <si>
    <t>”Elaborare documentație tehnico-economică (audit energetic, expertiză tehnică, studii de teren – geotehnic și topografic, DALI, proiect tehnic pentru autorizarea lucrărilor, POE, PT și DE, cerere de finanțare și altele) aferentă obiectivului de investiții ”Creșterea eficienței energetice a imobilului Grădinița cu program prelungit nr.33, Constanța”</t>
  </si>
  <si>
    <t>”Elaborare documentație tehnico-economică (audit energetic, expertiză tehnică, studii de teren – geotehnic și topografic, DALI, proiect tehnic pentru autorizarea lucrărilor, POE, PT și DE, cerere de finanțare și altele) aferentă obiectivului de investiții ”Creșterea eficienței energetice a imobilelor Grădinița cu program normal Zubeyde Hanim și Gradinița cu program normal Tom Degețel, Constanța”</t>
  </si>
  <si>
    <t>”Elaborare documentații tehnice cf HG 907/2016 pentru obiectivul ”Creșă mică” - prin CNI”</t>
  </si>
  <si>
    <t>”Elaborare studii de teren, avize, altele, pentru construire Săli de sport școlare în municipiul Constanța”</t>
  </si>
  <si>
    <t xml:space="preserve"> Elaborare documentație tehnico-economică aferentă obiectivului de investiții „Creșterea eficienței energetice a imobilului Liceul Teoretic Traian, Constanta” (PT, DTAC,  avize, DTOE, DDE, CS, asistenţă tehnică din partea proiectantului, altele)- certificat de performanță energetică</t>
  </si>
  <si>
    <t>Elaborare documentație tehnico-economică aferentă obiectivului de investiții „Creșterea eficienței energetice a imobilului Liceul Teoretic Decebal, Constanta” (PT, DTAC,avize, DTOE, DDE, CS , asistență tehnică din partea proiectantului, altele)- certificat de performanță energetică</t>
  </si>
  <si>
    <t>”Elaborare documentatie tehnico-economica audit energetic, expertiză tehnică, studii de teren - geotehnic și topografic, DALI, proiect tehnic pentru autorizarea lucrărilor, POE, PT și DE și altele, cerere de finanțare) aferentă obiectivului de investitii "Creșterea eficienței energetice a imobilului Liceului Tehnologic Dimitrie Leonida, Constanta (corp liceu)"</t>
  </si>
  <si>
    <t>”Elaborare documentație tehnico-economică aferentă obiectivului de investiții "Reabilitare Școala gimnazială nr.7  Remus Opreanu, Constanța" (studii de teren, expertiza tehnica, audit energetic, DALI, PT, DTAC, avize, altele)”</t>
  </si>
  <si>
    <t>”Elaborare documentație tehnico-economică (audit energetic, expertiză tehnică, studii de teren - geotehnic și topografic, DALI, proiect tehnic pentru autorizarea lucrărilor, POE, PT și DE  și altele, cerere de finanțare) aferentă obiectivului de investiții ”Creșterea eficienței energetice a imobilului Colegiul Național Pedagogic ”Constantin Brătescu”, Constanța”</t>
  </si>
  <si>
    <t>”Elaborare documentație tehnico-economică (audit energetic, expertiză tehnică, studii de teren - geotehnic și topografic, DALI, proiect tehnic pentru autorizarea lucrărilor, POE, PT și DE  și altele, cerere de finanțare) aferentă obiectivului de investiții ”Reabilitarea, modernizarea și dotarea Grădiniței cu program prelungit LUMEA COPIILOR, Constanța”</t>
  </si>
  <si>
    <t>”Elaborare documentație tehnico-economică (audit energetic, expertiză tehnică, studii de teren - geotehnic și topografic, DALI, proiect tehnic pentru autorizarea lucrărilor, POE, PT și DE  și altele, cerere de finanțare) aferentă obiectivului de investiții ”Reabilitarea, modernizarea și dotarea Grădiniței cu program prelungit STELUȚELE MĂRII, Constanța”</t>
  </si>
  <si>
    <t>”Elaborare documentație tehnico-economică (audit energetic, expertiză tehnică, studii de teren - geotehnic și topografic, DALI, proiect tehnic pentru autorizarea lucrărilor, POE, PT și DE  și altele, cerere de finanțare) aferentă obiectivului de investiții ”Reabilitarea, modernizarea și dotarea Grădiniței cu program prelungit ”CĂSUȚA DE TURTĂ DULCE”, Constanța”</t>
  </si>
  <si>
    <t>”Actualizare/Elaborare documentație tehnico-economică (audit energetic, expertiză tehnică, studii de teren - geotehnic și topografic, DALI, proiect tehnic pentru autorizarea lucrărilor, POE, PT și DE  și altele, cerere de finanțare) aferentă obiectivului de investiții ”Creșterea eficienței energetice a imobilului Școala Gimnazială nr. 23, Constanța”</t>
  </si>
  <si>
    <t>”Elaborare documentație tehnico-economică (audit energetic, expertiză tehnică, studii de teren - geotehnic și topografic, DALI, proiect tehnic pentru autorizarea lucrărilor, POE, PT și DE  și altele, cerere de finanțare) aferentă obiectivului de investiții ”Creșterea eficienței energetice a imobilului Școala Gimnazială nr. 14, Palazu Mare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</si>
  <si>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Grădinița cu program prelungit nr. 53,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</si>
  <si>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Școala Gimnazială nr. 24 Ion Jalea,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</si>
  <si>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Școala Gimnazială nr. 33 Anghel Saligny,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</si>
  <si>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Liceul Teoretic ”Lucian Blaga”,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</si>
  <si>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Școala Gimnazială nr. 37,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</si>
  <si>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Grădinița cu program prelungit nr.45”</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</si>
  <si>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Școala Gimnazială nr. 10 Mihail Koiciu,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</si>
  <si>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Școala Gimnazială nr. 22 I. C. Brătianu,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</si>
  <si>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Școala Gimnazială nr. 36 Dimitrie Știubei,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</si>
  <si>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Școala Gimnazială nr. 6 Nicolae Titulescu, Constanța”</t>
  </si>
  <si>
    <t>”Elaborare documentație tehnico-economică (audit energetic, expertiză tehnică, studii de teren – geotehnic și topografic, DALI, proiect tehnic pentru autorizarea lucrărilor, POE, PT și DE și altele) aferentă obiectivului de investiții ”Creșterea eficienței energetice a imobilului Liceul Teoretic George Călinescu, Constanța”</t>
  </si>
  <si>
    <t>”Elaborare documentație tehnico-economică (studiu topografic, DALI, proiect tehnic pentru autorizarea lucrărilor, POE, PT și DE și altele) aferentă obiectivului de investiții ”Creșterea eficienței energetice a imobilului Liceul Tehnologic Tomis - corp Cantină și corp Ateliere”</t>
  </si>
  <si>
    <t>”Elaborare documentație tehnico-economică (studiu topografic, DALI, proiect tehnic pentru autorizarea lucrărilor, POE, PT și DE și altele) aferentă obiectivului de investiții ”Creșterea eficienței energetice a imobilului Liceul Tehnologic Tomis - corp Liceu”</t>
  </si>
  <si>
    <t>Elaborare documentație tehnico - economică (audit energetic, expertiză tehnică, studii de teren - geotehnic și topografic, DALI, proiect tehnic pentru autorizarea lucrărilor, POE, PT și DE și altele, cerere de finanțare) aferentă obiectivului de investiții ”Consolidarea și reabilitarea imobilului Liceului Tehnologic Dimitrie Leonida, Constanța, corp cămin”</t>
  </si>
  <si>
    <t>”Actualizare/Elaborare documentație tehnico-economică (audit energetic, expertiză tehnică, studii de teren - geotehnic și topografic, DALI, proiect tehnic pentru autorizarea lucrărilor, POE, PT și DE  și altele, cerere de finanțare) aferentă obiectivului de investiții ”Consolidarea și reabilitarea imobilului Școala Gimnazială nr. 43, Constanța”</t>
  </si>
  <si>
    <t>”Elaborare documentație tehnico-economică a obiectivului de investiții ”Reabilitarea Școala nr. 39 Nicolae Tonitza (DALI, PT, DTAC, studii, expertiză tehnică, documentații avize, asistență tehnică din partea proiectantului, altele)”</t>
  </si>
  <si>
    <t>”Elaborare documentație tehnico-economică (audit energetic, expertiză tehnică, studii de teren - geotehnic și topografic, DALI, proiect tehnic pentru autorizarea lucrărilor, POE, PT și DE și altele, cerere de finanțare) aferentă obiectivului de investiții ”Consolidarea și reabilitarea imobilului Școala Gimnazială nr. 40 Aurel Vlaicu, Constanța”</t>
  </si>
  <si>
    <t>”Elaborare documentație tehnico-economică (audit energetic, expertiză tehnică, studii de teren - geotehnic și topografic, DALI, proiect tehnic pentru autorizarea lucrărilor, POE, PT și DE  și altele, cerere de finanțare) aferentă obiectivului de investiții ”Consolidarea și reabilitarea Colegiului Comercial ”Carol I - corp 1 - săli de clasă”</t>
  </si>
  <si>
    <t>”Elaborare documentație tehnico-economică (audit energetic, expertiză tehnică, studii de teren - geotehnic și topografic, DALI, proiect tehnic pentru autorizarea lucrărilor, POE, PT și DE  și altele, cerere de finanțare) aferentă obiectivului de investiții ”Consolidarea și reabilitarea Colegiului Comercial ”Carol I - corp 2 - sală de sport”</t>
  </si>
  <si>
    <t>”Elaborare documentație tehnico-economică (audit energetic, expertiză tehnică, studii de teren - geotehnic și topografic, DALI, proiect tehnic pentru autorizarea lucrărilor, POE, PT și DE  și altele, cerere de finanțare) aferentă obiectivului de investiții ”Consolidarea și reabilitarea Colegiului Comercial ”Carol I - corp 3 - amfiteatre”</t>
  </si>
  <si>
    <t>CAP.66 SANATATE</t>
  </si>
  <si>
    <t>”Elaborare documentație tehnico-economică aferentă obiectivului de investiții „Creșterea eficienței energetice a imobilului Spitalul Municipal, Constanta” (PT, DTAC,  avize, DTOE, DDE, CS , asistenţă tehnică din partea proiectantului, altele)”</t>
  </si>
  <si>
    <t>”Elaborare documentație tehnico-economică (SF, proiect tehnic pentru autorizarea lucrărilor, POE, PT și DE și altele, cerere de finanțare) aferentă proiectului ”Policlinica Municipală, specializarea cardiologie și oncologie, Constanța - spital nou”</t>
  </si>
  <si>
    <t>”Studiu Eliberarea amplasamentului si /sau de coexistenta a ,,Construirea Policlinicii municipale Cardiologie si Oncologie Constanta”</t>
  </si>
  <si>
    <t>Direcția Generală Gestionare Servicii Publice</t>
  </si>
  <si>
    <t>CAP.67  CULTURĂ, RECREERE ȘI RELIGIE</t>
  </si>
  <si>
    <t>”Elaborare audit energetic (cetificat de performanță energetiă) pentru obiectivul de investiții ”Creșterea eficienței energetice a imobilului Teatrul de Stat Constanța”</t>
  </si>
  <si>
    <t>”Elaborare documentație tehnico-economică (audit energetic, expertiză tehnică, studii de teren - geotehnic și topografic,  DALI, proiect tehnic pentru autorizarea lucrărilor, POE, PT și DE și altele, cerere de finanțare) aferentă obiectivului de investiții ”Reabilitarea și dotarea Teatrului Național de Operă și Balet Oleg Danovski, Constanța”</t>
  </si>
  <si>
    <t>”Elaborare documentație tehnico-economică a obiectivului de investiții ”Construire bază sportivă tip I - teren de fotbal cu 500 locuri, Bulevardul Aurel Vlaicu nr. 254, Constanța (studii de teren, avize, altele)”</t>
  </si>
  <si>
    <t>”Bazin de înot didactic și de agrement Bulevardul Aurel Vlaicu nr. 254, Constanța (studii de teren, avize, altele)”</t>
  </si>
  <si>
    <t>”Elaborare documentație tehnico-economică aferentă obiectivului de investiții ”Bazin de înot și Sală de sport multifuncțională pentru persoanele cu dizabilități”</t>
  </si>
  <si>
    <t>”Reabilitare sală sport, strada Badea Cârțan - pentru Club Sportiv Municipal Constanța”</t>
  </si>
  <si>
    <t>Club Sportiv Municipal Constanța</t>
  </si>
  <si>
    <t>”Servicii de proiectare tehnică faza DALI și studii de specialitate geotehnic, topografic, expertiză tehnică, audt energetic pentru săl sport - pentru Club Sportiv Municipal Constanța”</t>
  </si>
  <si>
    <t>”Elaborare documentație tehnico - economică (SF, PT, altele) pentru reabilitarea criptei paleocreștine de la Colegiul Național ”Mihai Eminescu”</t>
  </si>
  <si>
    <t>”Concurs de soluții DN3C (și execuție) - SF, avize”</t>
  </si>
  <si>
    <t>”Elaborare documentație tehnico-economică aferentă (expertiză tehnică, audit energetic, studii de teren - geotehnic și topografic, DALI - inclusiv studiu istoric, proiect pentru autorizarea execuției lucrărilor, POE, PT și DE și altele, cerere de finanțare) aferentă obiectivului de investiții ”Creșterea eficienței energetice a imobilului Casa Ion Bănescu”</t>
  </si>
  <si>
    <t>”Elaborare documentație tehnoco - economică ( documentații pentru obținerea avizelor/ acordurilor solicitate prin Certificatul de Urbanism, SF și studiu peisagistic) aferentă obiectivului de investiții ”Parc urban în zona Faleză Nord”</t>
  </si>
  <si>
    <t>”Elaborare documentații tehnico-economică - faza Studiu de Fezabilitate (SF) privind obiectivul de investiții ”Regenerarea spațiilor verzi în zona Spitalului Județean - bd. Tomis intersecție cu strada Nicolae Iorga și bd. Tomis - în fața blocurilor A1, A2 și A3 din municipiul Constanța”</t>
  </si>
  <si>
    <t xml:space="preserve">”Reabilitarea urbană a terenurilor situate în zona Aleea Lupeni din municipiul Constanța prin amenajarea de locuri de parcare și spații verzi” - PAC, POE, PT, DDE, CS aisitență tehnică și altele” </t>
  </si>
  <si>
    <t>”Elaborare documentație tehnico -economică, faza SF aferentă obiectivului de investiții ,,Reabilitare urbană a terenurilor situate la intersecția Bd. Al. Lăpușneanu cu str. I.L. Caragiale din mun. Constanța prin amenajarea  de spații verzi și dotări urbane’’</t>
  </si>
  <si>
    <t>”Elaborare documentație tehnico-economice, faza de studiu de fezabilitate privind obiectivul de investiție ”Regenerarea spațiului verde în zona Parc Tăbăcăriei, pe malul lacului Tăbăcărie din Municipiul Constanța și din zona centrală, lângă Inspectoratul Teritorial de Muncă Constanța”</t>
  </si>
  <si>
    <t>”Elaborare documentație tehnoco - economică, faza de SF privind obiectivul de investiții ”Sistematizare și amenajare de spații verzi publice, parcări de reședință și dotări conexe între zona cimitir Anadalchioi și bl. 55, 57, 59 - strada Soveja ”</t>
  </si>
  <si>
    <t>”Elaborare documentație tehnico - economică aferentă obiectivului de investiții ”Reabilitarea urbană a terenului situat în zona strada Primăverii din municipiul Constanța prin amenajarea de locuri de parcare și spații verzi”</t>
  </si>
  <si>
    <t>”Elaborarea documentației tehnico-economice, faza de studiu de fezabilitate și documentații pentru expropriere privind obiectivul de investiții ”Reabilitarea urbană a terenurilor situate în zona Stradela Basarabi din municipiul Constanța prin amenajarea de locuri de parcare și spații verzi”</t>
  </si>
  <si>
    <t>”Elaborare documentație tehnico-economică, faza SF aferentă obiectivului de investiții ,,Reabilitare urbană a terenurilor situate în zona Aleea Murelor din mun. Constanța prin amenajarea  de locuri de parcare și spații verzi dotate cu loc de joacă’’</t>
  </si>
  <si>
    <t>”Elaborare documentație tehnico-economică, faza SF aferentă obiectivului de investiții ,,Reabilitare urbană a terenului situat pe strada Banu Mihalcea nr. 15-17 din mun. Constanța prin amenajarea  de locuri de parcare și spații verzi’’</t>
  </si>
  <si>
    <t>”Elaborarea documentației tehnico-economice, faza de studiu de fezabilitate și documentații pentru expropriere privind obiectivul de investiții ”Reabilitarea urbană a terenului situat în zona bd. Alexandru Lăpușneanu, nr. 183A din municipiul Constanța prin amenajarea de locuri de parcare și spații verzi”</t>
  </si>
  <si>
    <t>”Amenajări spații publice și construire totemuri situate la intrările în municipiul Constanța”</t>
  </si>
  <si>
    <t>”Studii peisagistice și de amenajare arhitecturală (1. Esplanadă – zona spațiu verde și alei, 2. Zona str. Mircea cel Bătrân – în apropierea Mormântului lui Hipogeu”</t>
  </si>
  <si>
    <t>Proiectare Parcuri Arheologice ( 1. Poarta mare a cetății Tomis – Mircea cel Bătrân – Dragoș Vodă, 2. Zona Mozaicul Roman – Termele Romane, 3. SIT Arheologic situat intre str. Arhiepiscopiei și str. Revoluției (zona catedrală))</t>
  </si>
  <si>
    <t xml:space="preserve">CAP.68   ASIGURĂRI ŞI ASISTENŢĂ   SOCIALĂ    </t>
  </si>
  <si>
    <t>CAP. 70   LOCUINŢE, SERVICII ŞI DEZVOLTARE PUBLICĂ</t>
  </si>
  <si>
    <t>”PUZ - Zona de coastă a Mării Negre de la Pescărie la Portul Tomis”</t>
  </si>
  <si>
    <t>”Actualizare Plan Urbanistic General municipiul Constanța ”</t>
  </si>
  <si>
    <t>”PUZ - Spital regional”</t>
  </si>
  <si>
    <t>”PUZ Poarta 6”</t>
  </si>
  <si>
    <t>”PUZ BABA NOVAC”</t>
  </si>
  <si>
    <t>”PUZ Atelierelor”</t>
  </si>
  <si>
    <t>”PUZ - Regenerare și revitalizare urbană zona DN3C”</t>
  </si>
  <si>
    <t>”PUZ - Poarta 3 - Poarta 4”</t>
  </si>
  <si>
    <t>”PUZ - Piața Griviței”</t>
  </si>
  <si>
    <t>”Elaborare PUZ - Celulozei”</t>
  </si>
  <si>
    <t>”Actualizare PUZ Veterani - Constanța Sud, modificare HCL nr. 316/2013”</t>
  </si>
  <si>
    <t>”Actualizare PUZ Palazu Mare - modificare HCL 121/2011”</t>
  </si>
  <si>
    <t>”Actualizare PUZ Mamaia aprobat prin HCL 121/2013”</t>
  </si>
  <si>
    <t>”Extindere rețele edilitar - urbane”</t>
  </si>
  <si>
    <t>Actualizare PUZ reabilitarea și revitalizarea zonei peninsulare a municipiului Constanța, aprobat prin HCL nr. 416/2003</t>
  </si>
  <si>
    <t>Elaborare PUZ zona centrală a municipiului Constanța</t>
  </si>
  <si>
    <t>Elaborare PUZ Tomis I - Tomis II, municipiul Constanța</t>
  </si>
  <si>
    <t>„Elaborare PUZ parcare supraetajată - Casa de Cultură, municipiul Constanța”</t>
  </si>
  <si>
    <t>„Actualizarea hărții strategice de zgomot pentru municipiul Constanța, aprobată prin HCL nr. 458/2018”</t>
  </si>
  <si>
    <t>”Elaborare PUD -  amenajare zonă losir - Port Tomis, municipiul Constanța”</t>
  </si>
  <si>
    <t>”Elaborare PUZ -  Campus, municipiul Constanța”</t>
  </si>
  <si>
    <t>”PUZ -  Marile Bulevarde”</t>
  </si>
  <si>
    <t>”Elaborare PUZ - Consolidare și regenerare urbană taluzuri, reglementare plaje aferente zona Constanța Nord”</t>
  </si>
  <si>
    <t>”Elaborare documentație tehnico - economică ( studii de teren - geotehnic și topografic, SF, proiect tehnic pentru autorizarea lucrărilor, POE, PT și DE și altele, cerere de finanțare) aferentă obiectivului de investiții ”Complex social str. Celulozei”</t>
  </si>
  <si>
    <t>Evaluare vizuală rapidă a construcțiilor cu destinația de unități sau instituții de învățământ, spital, policlinică, dispensar policlinic, care se află în patrimoniul UAT Constanța, construite anterior anului 1978</t>
  </si>
  <si>
    <t>”Elaborare SF pentru obiectivul de investiții ,,Reconstrucția integrala a SIP pe anumite bulevarde, străzi si parcuri ale municipiului Constanta”</t>
  </si>
  <si>
    <t>”Amenajare locuri de joacă și spații dotate cu echipamente pentru exerciții fizice în municipiul Constanța (SF, PAC, PT, DDE, CS, doc avize/acorduri)”</t>
  </si>
  <si>
    <t>”Reabilitare pasarelă maritimă amplasată în Stațiunea Mamaia - Zona Hotel Victoria” (DALI, PAC, PT, DDE, CS, doc avize/acorduri, asistență tehnică din partea proiectantului)</t>
  </si>
  <si>
    <t>”Reamenajare spațiu public din zona Parc Poarta 6 (Faleză Sud)”</t>
  </si>
  <si>
    <t>”Reabilitare și consolidare a terenului din vecinătatea Biserica Greacă - Esplanada - Plaja Modern” (DALI, PAC, PT, DDE, CS, doc avize/acorduri, asistență tehnică din partea proiectantului)</t>
  </si>
  <si>
    <t>”Serviciul de proiectare pentru obiectivul de investiții - imobil situat în Constanta, aleea Topolog nr. 6A (fosta Creșă nr. 6), în vederea demolării (expertiză tehnică, PT, DTAD, avize, altele)”</t>
  </si>
  <si>
    <t>”Elaborare documentație tehnico-economică aferentă obiectivului de investiții ”Construire promenadă pietonală cu pistă de biciclete, tronson cuprins între strada Lebedei și baza taluzului corespunzător intersecției strada Pușkin cu strada Mihai Eminescu”- faza SF, DTAA, DTAC, PT+ DDE</t>
  </si>
  <si>
    <t>„Concepție grafică elemente signalistică urbană din municipiul Constanța”</t>
  </si>
  <si>
    <t>CAP. 74  PROTECŢIA MEDIULUI</t>
  </si>
  <si>
    <t>Cota de cofinanțare aferentă municipiului Constanțape anii 2020 și 2021 pentru obiectivul ”Proiectul regional de dezvoltare a infrastructurii de apă și apă uzată în aria de operare a SC RAJA SA Constanta în perioada 2014 - 2020”</t>
  </si>
  <si>
    <t>”Reabilitarea și consolidarea malurilor lacului Tăbăcăriei” (elaborare documentație tehnico-economică DALI, PAC, PT, DDE, CS, documentații pentru obținerea avizelor/ acordurilor și asistență tehnică)</t>
  </si>
  <si>
    <t>”Înființare centre de colectare prin aport voluntar în municipiul Constanța, elaborare documentație tehnico-economică. POE, PT, DE, verificare proiect tehnic, dirigentie de șantier, altele”</t>
  </si>
  <si>
    <t>CAP. 80  ACȚIUNI GENERALE ECONOMICE, COMERCIALE ȘI DE MUNCĂ</t>
  </si>
  <si>
    <t>”Elaborare audit energetic (certificat de performanță energetică) aferent obiectivului de investiții Casa Societății Civile – reabilitare, modernizare si dotări (strada Nicolae Titulescu nr. 13)”</t>
  </si>
  <si>
    <t xml:space="preserve"> CAP. 81  COMBUSTIBILI ȘI ENERGIE</t>
  </si>
  <si>
    <t>”Studii de fezabilitate pentru extinderea rețelei electrice de interes public”</t>
  </si>
  <si>
    <t xml:space="preserve">”Actualizarea Strategiei de Alimentare în sistem centralizat cu Energie Termică a municipiului Constanța” </t>
  </si>
  <si>
    <t>„Studii de fezabilitate realizare sursa apă - 2 puțuri”</t>
  </si>
  <si>
    <t>”Finalizarea reabilitare rețelelor termice primare, continuarea lucrărilor de reabilitare a rețelelor termice secundare și a punctelor termice din municipiul Constanța” (studii, avize, altele)</t>
  </si>
  <si>
    <t>Studiu de fezabilitate - Sursă de producție regenerabilă, adaptare la condițiile de mediu</t>
  </si>
  <si>
    <t>Studiu de fezabilitate - Sursă de producție vârf în cadrul CET Palas</t>
  </si>
  <si>
    <t>”Sursă de producție energie utilă termică și electrică prin cogenerare de înaltă eficiență, în municipiul Constanța” - consultanță în elaborarea caietului de sarcini și consultanță de specialitate (experți cooptați) pentru procedura de atribuire”</t>
  </si>
  <si>
    <t>Reabilitarea rețelelor termice secundare și contorizarea la nivel de scară pentru municipiul Constanța - etapa IV” - serviciul de consultanță în elaborarea caietului de sarcini și consultanță de specialitate (experți cooptați) pentru procedura de atribuire</t>
  </si>
  <si>
    <t>”Finalizarea reabilitare rețelelor termice primare, continuarea lucrărilor de reabilitare a rețelelor termice secundare și a punctelor termice din municipiul Constanța” (consultanță în elaborarea CF, CS și experți cooptați)</t>
  </si>
  <si>
    <t>”Instalarea sistemelor de panouri fotovoltaice pentru producerea de energie electrică” - SF, avize</t>
  </si>
  <si>
    <t>CAP. 84  TRANSPORTURI</t>
  </si>
  <si>
    <t>”Elaborare documentație tehnico-economică (studii de teren - geotehnic și topografic, studiu de trafic, SF, proiect tehnic pentru autorizarea lucrărilor, POE, PT și DE, altele, cerere de finanțare) aferentă obiectivului de investiții ”Achizitia de autobuze cu emisii de carbon scazute, destinate transportului public si crearea infrastructurii aferente - garaj CT BUS”</t>
  </si>
  <si>
    <t>”Elaborare documentație tehnico-economică aferentă obiectivului de investiții ”Pasaj rutier denivelat la intersecția Bulevardului Tomis cu Bulevardul Aurel Vlaicu”(documentații conform HG 907/2016 și altele”</t>
  </si>
  <si>
    <t>”Elaborare documentație tehnico-economică (expretiză tehnică, studii de teren - geotehnic și topografic, studiu de trafic, DALI, proiect tehnic pentru autorizarea lucrărilor, POE, PT și DE, altele, cerere de finanțare) aferentă obiectivului de investiții ”Regenerare urbană în municipiul Constanța, b-dul Tomis”</t>
  </si>
  <si>
    <t>”Elaborare documentație tehnico-economică (expretiză tehnică, studii de teren - geotehnic și topografic, studiu de trafic, DALI, proiect tehnic pentru autorizarea lucrărilor, POE, PT și DE, altele, cerere de finanțare) aferentă obiectivului de investiții ”Îmbunătățirea mobilității în municipiul Constanța, B-dul I. C. Brătianu”</t>
  </si>
  <si>
    <t>”Elaborare documentație tehnico-economică (studiu de fezabilitate, documentații pentru obținerea avizelor solicitate prin Certificatul de Urbanism, PAC, POE, PT, studii de specialitate și altele) pentru achiziția montarea și punerea în funcțiune a panourilor informative în cadrul proiectului ”Îmbunătățirea managementului transportului de călători în Polul de Creștere Constanța prin implementarea unor facilități de informare călători - panouri informative”</t>
  </si>
  <si>
    <t>”Elaborare documentație tehnico-economică (SF, DTAC, DTAA) pentru ”Extindere Șoseaua Industrială și conectarea la DN39E/A4, din municipiul Constanța”</t>
  </si>
  <si>
    <t>”Elaborare documentație tehnico-economică (expretiză tehnică, studii de teren - geotehnic și topografic, studiu de trafic, studiu peisagistic, DALI, proiect tehnic pentru autorizarea lucrărilor, POE, PT și DE, altele, cerere de finanțare) aferentă obiectivului de investiții ”Îmbunătățirea mobilității în municipiul Constanța, zona Bulevardul Mamaia”</t>
  </si>
  <si>
    <t>”Serviciul de consultanță în elaborarea caietului de sarcini și consultanță de specialitate (experți cooptați), pentru procedura de atribuire având ca obiect elaborarea documentației tehnico-economică (PAC, POE, PT, DE, CS, asistență tehnică din partea proiectantului și altele) și execuție lucrări, pentru realizarea obiectivului de investiții ”Modernizare DC 89 - str. Amsterdam, realizare arteră adiacentă - rută ocolitoare, din municipiul Constanța”</t>
  </si>
  <si>
    <t>”Elaborare documentație tehnico-economică Studiu de Fezabilitate ”Parcare publică multietajată”, zona Casa de Cultură, în municipiul Constanța”</t>
  </si>
  <si>
    <t>”Elaborare documentație tehnico-economică SF în vederea edificării de parcări publice supraetajate in municipiul Constanta”</t>
  </si>
  <si>
    <t>”Serviciul de consultanta in elaborare caiet de sarcini si Consultanta de specialitate (experți cooptați), pentru  procedura de atribuire având ca obiect ,,Elaborare documentație tehnico – economica (PAC, POE, PT, DE, CS, asistenta tehnica din partea proiectantului si altele) si execuție lucrări, pentru realizarea  obiectivului de investiții ,,Bulevardul Madrid’’ din mun. Constanta”</t>
  </si>
  <si>
    <t>”Serviciul de proiectare pentru sisteme de semaforizare pe str. Cuza Voda, municipiul Constanta”</t>
  </si>
  <si>
    <t>”Elaborare documentație tehnico - economică (Studiude Fezabilitate/DTAC) în vederea edificării de parcări publice supraetajate în Stațiunea Mamaia”</t>
  </si>
  <si>
    <t>”Elaborarea documentației tehnico-economice, faza studiu de fezabilitate și documentații pentru expropriere privind obiectivul de investiție ”Reabilitarea urbană a terenurilor situate în zona cuprinsă între strazile Ștefan cel Mare și Cuza Vodă din municipiul Constanța prin amenajarea de locuri de parcare”</t>
  </si>
  <si>
    <t xml:space="preserve">                                                                            </t>
  </si>
  <si>
    <t xml:space="preserve">                    NR. </t>
  </si>
  <si>
    <t>Listă de dotări independente şi utilaje pe anul 2024</t>
  </si>
  <si>
    <t xml:space="preserve">         CAP. 51   AUTORITĂŢI  PUBLICE ŞI ACȚIUNI EXTERNE</t>
  </si>
  <si>
    <t>”Panou temporar  ”Creșterea eficienței energetice a imobilului Casa Căsătoriilor, Constanța”</t>
  </si>
  <si>
    <t>01.03</t>
  </si>
  <si>
    <t>”Panou temporar ”Creșterea eficienței energetice a clădirilor rezidențiale din Municipiul Constanța, zona Casa de Cultură – blocurile L48, L49, L50”</t>
  </si>
  <si>
    <t>”Panou temporar ”Creșterea eficienței energetice a clădirilor rezidențiale din Municipiul Constanța, zona Badea Cârțan – blocurile K9, K10, K13, K14, K15”</t>
  </si>
  <si>
    <t>”Panou temporar ”Creșterea eficienței energetice a clădirilor rezidențiale din Municipiul Constanța, zona Badea Cârțan – blocurile K11, K12”</t>
  </si>
  <si>
    <t>”Panou temporar ”Creșterea eficienței energetice a clădirilor rezidențiale din Municipiul Constanța, zona Soveja – blocurile FT4, FT3A, FT3B”</t>
  </si>
  <si>
    <t>”Echipamente foto-video”</t>
  </si>
  <si>
    <t>Direcția cultură, educație, sport, turism</t>
  </si>
  <si>
    <t>”Pachete cu semnături electronice”</t>
  </si>
  <si>
    <t xml:space="preserve">Direcția digitalizare si tehnologia informației </t>
  </si>
  <si>
    <t>01,30</t>
  </si>
  <si>
    <t>”Sistem informatic integrat pentru dezvoltare urbană”</t>
  </si>
  <si>
    <t>”Proiectare și execuție Sisteme Electronice de Securitate pentru Sediile Primăriei mun. Constanta”</t>
  </si>
  <si>
    <t>”Servicii de cartografie digitala a unor imobile proprietate publica a mun. Constanta, reprezentând cimitire ”</t>
  </si>
  <si>
    <t>”Îmbunătățire și întreținere sistem de control acces cu schimbare de piese ”</t>
  </si>
  <si>
    <r>
      <rPr>
        <b/>
        <sz val="10.5"/>
        <rFont val="Times New Roman CE"/>
        <charset val="238"/>
      </rPr>
      <t>CAP.61 ORDINE PUBLICĂ ŞI SIGURANŢĂ NAŢIONALĂ</t>
    </r>
    <r>
      <rPr>
        <sz val="10.5"/>
        <rFont val="Times New Roman CE"/>
        <charset val="238"/>
      </rPr>
      <t xml:space="preserve">  </t>
    </r>
  </si>
  <si>
    <t>”Sistem de supraveghere și stocare video a obiectivelor aflate în administrarea Primăriei Municipiului Constanța”</t>
  </si>
  <si>
    <t>Direcția generală poliție locală</t>
  </si>
  <si>
    <t>”Defibrilator”</t>
  </si>
  <si>
    <t>”Camere supraveghere cu sistem fotovoltaic”</t>
  </si>
  <si>
    <t>”Stație meteo”</t>
  </si>
  <si>
    <t xml:space="preserve">  CAP.65 ÎNVĂȚĂMÂNT</t>
  </si>
  <si>
    <t>”Dotarea cu mobilier, materiale didactice și echipamete digitale a unităților de învățământ preuniversitar și a unităților conexe din municipiul Constanța”</t>
  </si>
  <si>
    <t>”Panou temporar  ”Dotarea cu mobilier, materiale didactice și echipamete digitale a unităților de învățământ preuniversitar și a unităților conexe din municipiul Constanța”</t>
  </si>
  <si>
    <t>”Panou temporar  ”Creșterea eficienței energetice a imobilului Colegiul Național Pedagogic ”Constantin Brătescu”, Constanța”</t>
  </si>
  <si>
    <t xml:space="preserve">”Panou temporar „Creșterea eficienței energetice a imobilului Liceul Teoretic ”Lucian Blaga”, Constanța” </t>
  </si>
  <si>
    <t>”Panou temporar ”Creșterea eficienței energetice a imobilului Școala Gimnazială nr. 33 Anghel Saligny, Constanța”</t>
  </si>
  <si>
    <t>”Panou temporar ”Creșterea eficienței energetice a imobilului Școala Gimnazială nr. 22 I. C. Brătianu, Constanța”</t>
  </si>
  <si>
    <t>”Panou temporar ”Creșterea eficienței energetice a imobilului Liceul Teoretic George Călinescu, Constanța”</t>
  </si>
  <si>
    <t>”Panou temporar ”Creșterea eficienței energetice a imobilului Liceul Tehnologic Tomis - corp Liceu”</t>
  </si>
  <si>
    <t>”Panou temporar ”Creșterea eficienței energetice a imobilului Liceul Tehnologic Tomis - corp Cantină și corp Ateliere”</t>
  </si>
  <si>
    <t>”Panou temporar  "Creșterea eficienței energetice a imobilului Liceului Tehnologic Dimitrie Leonida, Constanta (corp liceu)"</t>
  </si>
  <si>
    <t>”Panou temporar  ”Creșterea eficienței energetice a imobilului Școala Gimnazială nr. 23, Constanța”</t>
  </si>
  <si>
    <t>”Panou temporar "Reabilitare clădire Colegiul Naţional Mihai Eminescu"</t>
  </si>
  <si>
    <t>”Panou temporar ”Creșterea eficienței energetice a imobilului Grădinița cu program prelungit nr. 53, Constanța”</t>
  </si>
  <si>
    <t>”Panou temporar "Reabilitare Școala gimnazială nr.7  Remus Opreanu, Constanța"</t>
  </si>
  <si>
    <t>”Panou temporar ”Creșterea eficienței energetice a imobilului Grădinița cu program prelungit nr.45”</t>
  </si>
  <si>
    <t>”Panou temporar ”Reabilitarea, modernizarea și dotarea Grădiniței cu program prelungit LUMEA COPIILOR, Constanța”</t>
  </si>
  <si>
    <t>”Panou temporar ”Reabilitarea, modernizarea și dotarea Grădiniței cu program prelungit STELUȚELE MĂRII, Constanța”</t>
  </si>
  <si>
    <t>”Panou temporar ”Reabilitarea, modernizarea și dotarea Grădiniței cu program prelungit ”CĂSUȚA DE TURTĂ DULCE”, Constanța”</t>
  </si>
  <si>
    <t>”Panou temporar ”Creșterea eficienței energetice a imobilului Școala Gimnazială nr. 24 Ion Jalea, Constanța”</t>
  </si>
  <si>
    <t>”Panou temporar ”Creșterea eficienței energetice a imobilului Școala Gimnazială nr. 14, Palazu Mare Constanța”</t>
  </si>
  <si>
    <t>”Panou temporar „Creșterea eficienței energetice a imobilului Școala Gimnazială nr. 37, Constanța”</t>
  </si>
  <si>
    <t>”Panou temporar ”Creșterea eficienței energetice a imobilului Școala Gimnazială nr. 36 Dimitrie Știubei, Constanța”</t>
  </si>
  <si>
    <t>”Panou temporar ”Creșterea eficienței energetice a imobilului Școala Gimnazială nr. 10 Mihail Koiciu, Constanța”</t>
  </si>
  <si>
    <t>”Panou temporar ”Creșterea eficienței energetice a imobilului Școala Gimnazială nr. 6 Nicolae Titulescu, Constanța”</t>
  </si>
  <si>
    <t>”Placă  „Creșterea eficienței energetice a imobilului Liceul Teoretic Traian, Constanta”</t>
  </si>
  <si>
    <t>”Placă "Creșterea eficienței energetice a imobilului Liceul teoretic Decebal, Constanța"</t>
  </si>
  <si>
    <t>”Achiziție și montaj mijloc fix ușă termopan cu amortizor intrarea principală, Seminarul Teologic Ortodox Sf. Cuvios Dionisie Exiguul"</t>
  </si>
  <si>
    <t>Seminarul Teologic Ortodox Sf. Cuvios Dionisie Exiguul</t>
  </si>
  <si>
    <t>CAP. 66 SĂNĂTATE</t>
  </si>
  <si>
    <t>”Panou temporar „Creșterea eficienței energetice a imobilului Spitalul Municipal, Constanta”</t>
  </si>
  <si>
    <t>”Panou temporar ”Policlinica Municipală, specializarea cardiologie și oncologie, Constanța - spital nou”</t>
  </si>
  <si>
    <t>”Panou temporar ”Reducerea riscului de infecții nosocomiale în Spitalul Clinic de Boli Infecțioase Constanța”</t>
  </si>
  <si>
    <t>”Reducerea riscului de infecții nosocomiale în Spitalul Clinic de Boli Infecțioase Constanța”</t>
  </si>
  <si>
    <t>Spitalul Clinic de Boli Infecțioase Constanța</t>
  </si>
  <si>
    <t>”Calculator desktop cu monitor, tastatură, mouse și UPS Spital Modular și Sistem operare calculator desktop windows 11 Professional OEM 64 biti Spital Modular - pentru Spitalul de Boli Infecțioase Constanța”</t>
  </si>
  <si>
    <t>”Multifuncțional de rețea color Spital Modular - pentru Spitalul de Boli Infecțioase Constanța”</t>
  </si>
  <si>
    <t>”Multifuncțional de rețea monocrom Spital Modular - pentru Spitalul de Boli Infecțioase Constanța”</t>
  </si>
  <si>
    <t>”Panou temporar ”Creșterea eficienței energetice a imobilului Teatrul de Stat Constanța”</t>
  </si>
  <si>
    <t>”Sistem oficial volei omologat - pentru Club Sportiv Municipal Constanța”</t>
  </si>
  <si>
    <t>”Ring de box profesional - pentru Club Sportiv Municipal Constanța”</t>
  </si>
  <si>
    <t>”Trenajor - ergometru vâslit kaiac - canoe - pentru Club Sportiv Municipal Constanța”</t>
  </si>
  <si>
    <t>”Tabelă portabilă masă multisport - pentru Club Sportiv Municipal Constanța”</t>
  </si>
  <si>
    <t>”Microbuz transport 16+1 - pentru Club Sportiv Municipal Constanța”</t>
  </si>
  <si>
    <t>01.02</t>
  </si>
  <si>
    <t xml:space="preserve">   CAP.68   ASIGURĂRI ŞI ASISTENŢĂ   SOCIALĂ    </t>
  </si>
  <si>
    <t>”Calandru cu benzi”</t>
  </si>
  <si>
    <t>Direcția generală de asistență socială</t>
  </si>
  <si>
    <t>”Licențe Microsoft Office 2 buc”</t>
  </si>
  <si>
    <t>CAP.70   LOCUINŢE, SERVICII ŞI DEZVOLTARE PUBLICĂ</t>
  </si>
  <si>
    <t>”Achiziție și montare echipamente de joacă” - în derulare</t>
  </si>
  <si>
    <t>”Achiziție și montare echipamente de joacă” - contract nou</t>
  </si>
  <si>
    <t>”Amenajare de locuri de joacă noi” - 18 locații</t>
  </si>
  <si>
    <t xml:space="preserve">”Amenajare de locuri de joacă noi” - 6 locații </t>
  </si>
  <si>
    <t>”Amenajare de locuri de joacă noi” - 10 locații</t>
  </si>
  <si>
    <t>”Panou temporar ”Înființare centru integrat de colectare separată prin aport voluntar în municipiul Constanța”</t>
  </si>
  <si>
    <t>”Panou temporar ”Înființare centre de colectare prin aport voluntar în municipiul Constanța”</t>
  </si>
  <si>
    <t>”Achiziție de insule ecologice digitalizate”</t>
  </si>
  <si>
    <t xml:space="preserve"> CAP. 80  ACȚIUNI GENERALE ECONOMICE, COMERCIALE ȘI DE MUNCĂ</t>
  </si>
  <si>
    <t>01,02</t>
  </si>
  <si>
    <t>”Panou temporar ”Sursă de producție energie utilă termică și electrică prin cogenerare de înaltă eficiență, în municipiul Constanța”</t>
  </si>
  <si>
    <t>”Plăci permanente ”Reabilitarea rețelelor termice primare - etapa 2”</t>
  </si>
  <si>
    <t>”Plăci permanente ”Reabilitarea rețelelor termice de termoficare - etapa III”</t>
  </si>
  <si>
    <t xml:space="preserve">”Panouri temporare ”Reabilitarea rețelelor termice secundare și contorizarea la nivel de scară pentru municipiul Constanța - etapa IV” - </t>
  </si>
  <si>
    <t xml:space="preserve">”Îmbunătățirea managementului transportului de călători în Polul de Creștere Constanța prin implementarea unor facilități de informa+B136:N143re călători ”panouri informative" cod proiect C10-I1.2-1258 (proiectare, execuție, furnizare și montaj) </t>
  </si>
  <si>
    <t>”Panou temporar ”Îmbunătățirea managementului transportului de călători în Polul de Creștere Constanța prin implementarea unor facilități de informare călători ”panouri informative" cod proiect C10-I1.2-1258</t>
  </si>
  <si>
    <t xml:space="preserve">”Achiziția de autobuze cu emisii de carbon scăzute, destinate transportului public și crearea infrastructurii aferente" (proiectare, execuție, furnizare și montaj) </t>
  </si>
  <si>
    <t xml:space="preserve">”Panou temporar ”Achiziția de autobuze cu emisii de carbon scăzute, destinate transportului public și crearea infrastructurii aferente" (proiectare, execuție, furnizare și montaj) </t>
  </si>
  <si>
    <t xml:space="preserve">”Placă "Acces și mobilitate pietonală în zona centrală a municipiului Constanța" </t>
  </si>
  <si>
    <t>”Placă ”Îmbunătățirea mobilității în municipiul Constanța, zona bd. 1 Mai - Șoseaua Mangaliei”</t>
  </si>
  <si>
    <t>”Panou temporar ”Îmbunătățirea mobilității în municipiul Constanța, între gara CFR și stațiunea Mamaia”</t>
  </si>
  <si>
    <t xml:space="preserve">”Stații de reîncărcare pentru vehicule electrice în municipiul Constanța (proiectare, execuție, furnizare și montaj)” </t>
  </si>
  <si>
    <t xml:space="preserve">  CAP. 87 ALTE ACȚIUNI ECONOMICE</t>
  </si>
  <si>
    <t>72.01.01</t>
  </si>
  <si>
    <t>Director executiv ,</t>
  </si>
  <si>
    <t xml:space="preserve">               NR. </t>
  </si>
  <si>
    <t xml:space="preserve">           </t>
  </si>
  <si>
    <t>Listă alte cheltuieli asimilate investițiilor pe anul 2024</t>
  </si>
  <si>
    <t>Decontat pâna la 31.12. 2021</t>
  </si>
  <si>
    <t>Alocatie 2022, din care:</t>
  </si>
  <si>
    <t>Surse cf.OG 19/94</t>
  </si>
  <si>
    <t>Proiecte FEN 2014-2020</t>
  </si>
  <si>
    <t xml:space="preserve"> CAP.61 ORDINE PUBLICĂ ŞI SIGURANŢĂ NAŢIONALĂ </t>
  </si>
  <si>
    <t>”Proiectare și execuție instalație utilizare gaze naturale, aferentă obiectivului de investiții Reabilitarea, modernizarea și dotarea Liceului cu Program Sportiv Nicolae Rotaru, Constanța”</t>
  </si>
  <si>
    <t>”Racordare la rețeaua electrică a locului de consum liceu - spor de putere (branșament electric) - pentru Liceul Teoretic Traian, Constnța”</t>
  </si>
  <si>
    <t>Liceul Teoretic Traian, Constnța</t>
  </si>
  <si>
    <t>CAP.  66 - SĂNĂTATE</t>
  </si>
  <si>
    <t>”Branșamente utilități aferente obiectivului de investiții ”Policlinica Municipală, specializarea cardiologie și oncologie, Constanța - spital nou”</t>
  </si>
  <si>
    <t>”Consolidare și extindere imobil existent cu destinația depozit, pavilion administrativ, cabinete vaccinare antirabică și alte imunizări Ds+P+2E+M” - pentru Spitalul Clinic de Boli Infecțioase Constanța”</t>
  </si>
  <si>
    <t>”Realizare mansardă în vederea eficientizării energetice și eliminarea infiltrațiilor pentru Secția de Boli Infecțioase HIV/SIDA exterioară din str. Ion Ionescu de la Brad nr. 4A” - pentru Spitalul Clinic de Boli Infecțioase Constanța”</t>
  </si>
  <si>
    <t>”Refacere inel hidranți exteriori - pentru Spitalul Clinic de Boli Infecțioase Constanța”</t>
  </si>
  <si>
    <t>”Stație epurare ape uzate bd. Ferdinand nr. 100 - pentru Spitalul Clinic de Boli Infecțioase Constanța”</t>
  </si>
  <si>
    <t>”Lucrare de conectare la rețeaua principală a spitalului și punere în funcțiune a rețelei de calculatoare la Spitalul Modular - pentru Spitalul Clinic de Boli Infecțioase Constanța”</t>
  </si>
  <si>
    <t>”Reabilitare sală sport, Badea Cârțan, pentru Club Sportiv Municipal Constanța”</t>
  </si>
  <si>
    <t>”Reabilitare si extindere sistem de irigații in municipiul Constanta – Parc Tăbăcărie, lot 1, lot 2, lot 3 ”</t>
  </si>
  <si>
    <t>”Lucrări de foraje pentru subtraversări bulevarde, străzi, alei pietonale din municipiul Constanța”</t>
  </si>
  <si>
    <t>”Reabilitare și extindere sistem de irigații în municipiul Constanța”</t>
  </si>
  <si>
    <t>”Modernizare si înlocuire sistem de irigații si branșamente in Parc Far si pe fâșia mediana a bulevardului Mamaia, tronson cuprins intre intersecția Delfinariu (str. Soveja) si Al Studenților”</t>
  </si>
  <si>
    <t>”Modernizare si înlocuire sistem de irigații si branșamente in Parc Far si pe fâșia mediana a bulevardului Mamaia, tronson cuprins intre intersecția Capitol (str. Mircea cel Bătrân) si str. Nicolae Iorga (piese)”</t>
  </si>
  <si>
    <t>01,01</t>
  </si>
  <si>
    <t>”Lucrări de demolare a imobilului situat în Constanta, str. Eliberării nr. 46 (fosta bază RATC/fost sediu RAR), inclusiv proiectarea în vederea demolării (expertiză tehnică, PT, DTAD, avize, altele)”</t>
  </si>
  <si>
    <t>“Execuția branșamentelor de energie electrică necesare alimentării stațiilor de reîncărcare aferente proiectelor ”Achiziția de mijloace de transport public – autobuze electrice cu lungimea de 12 ml” și ” Achiziția de mijloace de transport public – autobuze electrice cu lungimea de 10 ml” locații: strada Cișmelei cap de linie CT BUS, strada Theodor Burada/Gării cap de linie CT BUS și strada Industrială garaj CT BUS (SF, DTAC, PT, DE, POE, verificare proiect, asistență tehnică a execuției instalațiilor de utilizare - coloane electrice alimentare, punctelor de conexiune și montare a stațiilor de reîncărcare, altele)”</t>
  </si>
  <si>
    <t xml:space="preserve">”Modernizare rețea de transport public prin construire/ modificare/ reabilitare stații de transport în comun la capete de linii” </t>
  </si>
  <si>
    <t xml:space="preserve">”Construire/modificare/reabilitare stații de transport în comun din mun.  Constanța – LOT 2 -Poarta 2, Ștefănița  Voda, Oxford” </t>
  </si>
  <si>
    <t>Linie credit cf. HCL 427/2023</t>
  </si>
  <si>
    <t>”Reabilitarea, modernizarea și dotarea Liceului Tehnologic de Electrotehnică și Telecomunicații, Constanța” (DDFE)</t>
  </si>
  <si>
    <t>HCL 94/2019, HCL 105/2020, HCL 151/2021, HCL 422/2022, HCL 549/2023</t>
  </si>
  <si>
    <t>”Creșterea eficienței energetice a imobilului Teatrul de Stat, Constanta” cod SMIS 124052 (DDFE)</t>
  </si>
  <si>
    <t>HCL 130/2021</t>
  </si>
  <si>
    <t>Elaborare certificat de performanţă energetică la finalizarea lucrărilor de reabililitare, modernizare și dotare a Liceului tehnologic de electrotehnică și telecomunicații Constanța"</t>
  </si>
  <si>
    <t xml:space="preserve">”Placă  ”Reabilitarea, modernizarea și dotarea Liceului Tehnologic de Electrotehnică și Telecomunicații, Constanța” </t>
  </si>
  <si>
    <t>”Placă ”Îmbunătățirea mobilității în municipiul Constanța, între gara CFR și stațiunea Mamaia”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</si>
</sst>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lei&quot;_-;\-* #,##0.00\ &quot;lei&quot;_-;_-* &quot;-&quot;??\ &quot;lei&quot;_-;_-@_-"/>
    <numFmt numFmtId="165" formatCode="#,##0.0"/>
  </numFmts>
  <fonts count="61">
    <font>
      <sz val="10"/>
      <name val="Arial"/>
    </font>
    <font>
      <sz val="10"/>
      <name val="Arial"/>
      <family val="2"/>
      <charset val="238"/>
    </font>
    <font>
      <sz val="10"/>
      <name val="Arial"/>
      <family val="2"/>
      <charset val="238"/>
    </font>
    <font>
      <sz val="10"/>
      <name val="Balcan"/>
    </font>
    <font>
      <sz val="8"/>
      <name val="Arial"/>
      <family val="2"/>
      <charset val="238"/>
    </font>
    <font>
      <b/>
      <sz val="10.5"/>
      <name val="Times New Roman CE"/>
      <charset val="238"/>
    </font>
    <font>
      <sz val="9"/>
      <name val="Times New Roman CE"/>
      <charset val="238"/>
    </font>
    <font>
      <b/>
      <u/>
      <sz val="10.5"/>
      <name val="Times New Roman CE"/>
      <charset val="238"/>
    </font>
    <font>
      <b/>
      <sz val="11"/>
      <name val="Times New Roman CE"/>
      <charset val="238"/>
    </font>
    <font>
      <sz val="10"/>
      <name val="Times New Roman CE"/>
      <charset val="238"/>
    </font>
    <font>
      <b/>
      <sz val="10"/>
      <name val="Times New Roman CE"/>
      <charset val="238"/>
    </font>
    <font>
      <b/>
      <u/>
      <sz val="11"/>
      <name val="Times New Roman CE"/>
      <charset val="238"/>
    </font>
    <font>
      <sz val="10.5"/>
      <name val="Times New Roman CE"/>
      <charset val="238"/>
    </font>
    <font>
      <sz val="11"/>
      <name val="Times New Roman CE"/>
      <charset val="238"/>
    </font>
    <font>
      <sz val="8"/>
      <name val="Times New Roman CE"/>
      <charset val="238"/>
    </font>
    <font>
      <i/>
      <sz val="8"/>
      <name val="Times New Roman CE"/>
      <charset val="238"/>
    </font>
    <font>
      <b/>
      <i/>
      <sz val="8"/>
      <name val="Times New Roman CE"/>
      <charset val="238"/>
    </font>
    <font>
      <sz val="9.5"/>
      <name val="Times New Roman CE"/>
      <charset val="238"/>
    </font>
    <font>
      <b/>
      <sz val="9"/>
      <name val="Times New Roman CE"/>
      <charset val="238"/>
    </font>
    <font>
      <b/>
      <u/>
      <sz val="16"/>
      <name val="Times New Roman CE"/>
      <charset val="238"/>
    </font>
    <font>
      <b/>
      <sz val="12"/>
      <name val="Times New Roman CE"/>
      <charset val="238"/>
    </font>
    <font>
      <i/>
      <sz val="9"/>
      <name val="Times New Roman CE"/>
      <charset val="238"/>
    </font>
    <font>
      <b/>
      <sz val="9.5"/>
      <name val="Times New Roman CE"/>
      <charset val="238"/>
    </font>
    <font>
      <sz val="12"/>
      <name val="Times New Roman CE"/>
      <charset val="238"/>
    </font>
    <font>
      <b/>
      <u val="double"/>
      <sz val="12"/>
      <name val="Times New Roman CE"/>
      <charset val="238"/>
    </font>
    <font>
      <b/>
      <u val="double"/>
      <sz val="11"/>
      <name val="Times New Roman CE"/>
      <charset val="238"/>
    </font>
    <font>
      <b/>
      <sz val="8"/>
      <name val="Times New Roman CE"/>
      <charset val="238"/>
    </font>
    <font>
      <sz val="7.5"/>
      <name val="Times New Roman CE"/>
      <charset val="238"/>
    </font>
    <font>
      <i/>
      <sz val="11"/>
      <name val="Times New Roman CE"/>
      <charset val="238"/>
    </font>
    <font>
      <b/>
      <i/>
      <sz val="10.5"/>
      <name val="Times New Roman CE"/>
      <charset val="238"/>
    </font>
    <font>
      <i/>
      <sz val="10.5"/>
      <name val="Times New Roman CE"/>
      <charset val="238"/>
    </font>
    <font>
      <b/>
      <u/>
      <sz val="10"/>
      <name val="Times New Roman CE"/>
      <charset val="238"/>
    </font>
    <font>
      <b/>
      <u/>
      <sz val="9"/>
      <name val="Times New Roman CE"/>
      <charset val="238"/>
    </font>
    <font>
      <u/>
      <sz val="8"/>
      <name val="Times New Roman CE"/>
      <charset val="238"/>
    </font>
    <font>
      <u/>
      <sz val="16"/>
      <name val="Times New Roman CE"/>
      <charset val="238"/>
    </font>
    <font>
      <sz val="7"/>
      <name val="Times New Roman CE"/>
      <charset val="238"/>
    </font>
    <font>
      <sz val="10.5"/>
      <name val="Times New Roman"/>
      <family val="1"/>
      <charset val="238"/>
    </font>
    <font>
      <sz val="11"/>
      <name val="Times New Roman"/>
      <family val="1"/>
      <charset val="238"/>
    </font>
    <font>
      <b/>
      <i/>
      <sz val="9"/>
      <name val="Times New Roman CE"/>
      <charset val="238"/>
    </font>
    <font>
      <sz val="10"/>
      <name val="Verdana"/>
      <family val="2"/>
      <charset val="238"/>
    </font>
    <font>
      <b/>
      <sz val="10"/>
      <name val="Verdana"/>
      <family val="2"/>
      <charset val="238"/>
    </font>
    <font>
      <sz val="10"/>
      <name val="Arial"/>
      <family val="2"/>
    </font>
    <font>
      <b/>
      <sz val="9"/>
      <color theme="0"/>
      <name val="Times New Roman CE"/>
      <charset val="238"/>
    </font>
    <font>
      <b/>
      <sz val="10.5"/>
      <color theme="0"/>
      <name val="Times New Roman CE"/>
      <charset val="238"/>
    </font>
    <font>
      <sz val="8"/>
      <color theme="0"/>
      <name val="Times New Roman CE"/>
      <charset val="238"/>
    </font>
    <font>
      <b/>
      <sz val="11"/>
      <color theme="0"/>
      <name val="Times New Roman CE"/>
      <charset val="238"/>
    </font>
    <font>
      <b/>
      <sz val="12"/>
      <color theme="0"/>
      <name val="Times New Roman CE"/>
      <charset val="238"/>
    </font>
    <font>
      <sz val="10.5"/>
      <color theme="0"/>
      <name val="Times New Roman CE"/>
      <charset val="238"/>
    </font>
    <font>
      <sz val="12"/>
      <color theme="0"/>
      <name val="Times New Roman CE"/>
      <charset val="238"/>
    </font>
    <font>
      <b/>
      <sz val="10"/>
      <color theme="0"/>
      <name val="Times New Roman CE"/>
      <charset val="238"/>
    </font>
    <font>
      <b/>
      <sz val="8"/>
      <color theme="0"/>
      <name val="Times New Roman CE"/>
      <charset val="238"/>
    </font>
    <font>
      <sz val="10"/>
      <color theme="0"/>
      <name val="Times New Roman CE"/>
      <charset val="238"/>
    </font>
    <font>
      <b/>
      <sz val="10"/>
      <color theme="0"/>
      <name val="Verdana"/>
      <family val="2"/>
      <charset val="238"/>
    </font>
    <font>
      <sz val="9"/>
      <color theme="0"/>
      <name val="Times New Roman CE"/>
      <charset val="238"/>
    </font>
    <font>
      <sz val="11"/>
      <color theme="0"/>
      <name val="Times New Roman CE"/>
      <charset val="238"/>
    </font>
    <font>
      <sz val="11"/>
      <color theme="0"/>
      <name val="Times New Roman"/>
      <family val="1"/>
      <charset val="238"/>
    </font>
    <font>
      <sz val="10"/>
      <color theme="0"/>
      <name val="Verdana"/>
      <family val="2"/>
      <charset val="238"/>
    </font>
    <font>
      <sz val="10"/>
      <color rgb="FFFF0000"/>
      <name val="Times New Roman CE"/>
      <charset val="238"/>
    </font>
    <font>
      <sz val="9"/>
      <color rgb="FFFF0000"/>
      <name val="Times New Roman CE"/>
      <charset val="238"/>
    </font>
    <font>
      <sz val="10.5"/>
      <color rgb="FFFF0000"/>
      <name val="Times New Roman CE"/>
      <charset val="238"/>
    </font>
    <font>
      <sz val="11"/>
      <color rgb="FFFF0000"/>
      <name val="Times New Roman CE"/>
      <charset val="23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2" fillId="0" borderId="0"/>
    <xf numFmtId="0" fontId="1" fillId="0" borderId="0"/>
    <xf numFmtId="0" fontId="3" fillId="0" borderId="0"/>
  </cellStyleXfs>
  <cellXfs count="391">
    <xf numFmtId="0" fontId="0" fillId="0" borderId="0" xfId="0"/>
    <xf numFmtId="3" fontId="13" fillId="2" borderId="0" xfId="4" applyNumberFormat="1" applyFont="1" applyFill="1" applyAlignment="1">
      <alignment vertical="center"/>
    </xf>
    <xf numFmtId="3" fontId="13" fillId="2" borderId="1" xfId="4" applyNumberFormat="1" applyFont="1" applyFill="1" applyBorder="1" applyAlignment="1">
      <alignment vertical="center"/>
    </xf>
    <xf numFmtId="0" fontId="9" fillId="2" borderId="0" xfId="6" applyFont="1" applyFill="1" applyAlignment="1">
      <alignment vertical="center"/>
    </xf>
    <xf numFmtId="0" fontId="13" fillId="2" borderId="0" xfId="6" applyFont="1" applyFill="1" applyAlignment="1">
      <alignment vertical="center"/>
    </xf>
    <xf numFmtId="3" fontId="8" fillId="2" borderId="0" xfId="6" applyNumberFormat="1" applyFont="1" applyFill="1" applyAlignment="1">
      <alignment horizontal="right" vertical="center" wrapText="1"/>
    </xf>
    <xf numFmtId="3" fontId="12" fillId="2" borderId="0" xfId="5" applyNumberFormat="1" applyFont="1" applyFill="1" applyAlignment="1">
      <alignment vertical="center"/>
    </xf>
    <xf numFmtId="3" fontId="17" fillId="2" borderId="0" xfId="0" applyNumberFormat="1" applyFont="1" applyFill="1" applyAlignment="1">
      <alignment vertical="center"/>
    </xf>
    <xf numFmtId="3" fontId="22" fillId="2" borderId="0" xfId="0" applyNumberFormat="1" applyFont="1" applyFill="1" applyAlignment="1">
      <alignment vertical="center"/>
    </xf>
    <xf numFmtId="3" fontId="5" fillId="2" borderId="0" xfId="5" applyNumberFormat="1" applyFont="1" applyFill="1" applyAlignment="1">
      <alignment vertical="center"/>
    </xf>
    <xf numFmtId="3" fontId="23" fillId="2" borderId="0" xfId="4" applyNumberFormat="1" applyFont="1" applyFill="1" applyAlignment="1">
      <alignment vertical="center"/>
    </xf>
    <xf numFmtId="3" fontId="22" fillId="2" borderId="0" xfId="4" applyNumberFormat="1" applyFont="1" applyFill="1" applyAlignment="1">
      <alignment vertical="center"/>
    </xf>
    <xf numFmtId="3" fontId="23" fillId="2" borderId="0" xfId="4" applyNumberFormat="1" applyFont="1" applyFill="1" applyAlignment="1">
      <alignment horizontal="center" vertical="center"/>
    </xf>
    <xf numFmtId="3" fontId="8" fillId="2" borderId="0" xfId="4" applyNumberFormat="1" applyFont="1" applyFill="1" applyAlignment="1">
      <alignment horizontal="left" vertical="center"/>
    </xf>
    <xf numFmtId="3" fontId="13" fillId="2" borderId="0" xfId="4" applyNumberFormat="1" applyFont="1" applyFill="1" applyAlignment="1">
      <alignment horizontal="right" vertical="center"/>
    </xf>
    <xf numFmtId="0" fontId="20" fillId="2" borderId="0" xfId="4" applyFont="1" applyFill="1" applyAlignment="1">
      <alignment horizontal="center" vertical="center"/>
    </xf>
    <xf numFmtId="0" fontId="8" fillId="2" borderId="0" xfId="4" applyFont="1" applyFill="1" applyAlignment="1">
      <alignment horizontal="center" vertical="center"/>
    </xf>
    <xf numFmtId="3" fontId="8" fillId="2" borderId="1" xfId="4" applyNumberFormat="1" applyFont="1" applyFill="1" applyBorder="1" applyAlignment="1">
      <alignment vertical="center"/>
    </xf>
    <xf numFmtId="3" fontId="20" fillId="2" borderId="0" xfId="4" applyNumberFormat="1" applyFont="1" applyFill="1" applyAlignment="1">
      <alignment horizontal="center" vertical="center"/>
    </xf>
    <xf numFmtId="3" fontId="9" fillId="2" borderId="0" xfId="4" applyNumberFormat="1" applyFont="1" applyFill="1" applyAlignment="1">
      <alignment horizontal="center" vertical="center"/>
    </xf>
    <xf numFmtId="3" fontId="6" fillId="2" borderId="0" xfId="4" applyNumberFormat="1" applyFont="1" applyFill="1" applyAlignment="1">
      <alignment vertical="center"/>
    </xf>
    <xf numFmtId="3" fontId="9" fillId="2" borderId="0" xfId="4" applyNumberFormat="1" applyFont="1" applyFill="1" applyAlignment="1">
      <alignment horizontal="right" vertical="center"/>
    </xf>
    <xf numFmtId="3" fontId="14" fillId="2" borderId="0" xfId="4" applyNumberFormat="1" applyFont="1" applyFill="1" applyAlignment="1">
      <alignment horizontal="right" vertical="center"/>
    </xf>
    <xf numFmtId="3" fontId="13" fillId="2" borderId="0" xfId="4" applyNumberFormat="1" applyFont="1" applyFill="1" applyAlignment="1">
      <alignment horizontal="left" vertical="center"/>
    </xf>
    <xf numFmtId="3" fontId="26" fillId="2" borderId="0" xfId="4" applyNumberFormat="1" applyFont="1" applyFill="1" applyAlignment="1">
      <alignment horizontal="right" vertical="center"/>
    </xf>
    <xf numFmtId="3" fontId="20" fillId="2" borderId="0" xfId="4" applyNumberFormat="1" applyFont="1" applyFill="1" applyAlignment="1">
      <alignment vertical="center"/>
    </xf>
    <xf numFmtId="3" fontId="21" fillId="2" borderId="0" xfId="4" applyNumberFormat="1" applyFont="1" applyFill="1" applyAlignment="1">
      <alignment horizontal="center" vertical="center"/>
    </xf>
    <xf numFmtId="3" fontId="21" fillId="2" borderId="0" xfId="4" applyNumberFormat="1" applyFont="1" applyFill="1" applyAlignment="1">
      <alignment vertical="center"/>
    </xf>
    <xf numFmtId="0" fontId="21" fillId="2" borderId="0" xfId="4" applyFont="1" applyFill="1" applyAlignment="1">
      <alignment vertical="center"/>
    </xf>
    <xf numFmtId="0" fontId="21" fillId="2" borderId="0" xfId="4" applyFont="1" applyFill="1" applyAlignment="1">
      <alignment horizontal="right" vertical="center"/>
    </xf>
    <xf numFmtId="3" fontId="21" fillId="2" borderId="2" xfId="4" applyNumberFormat="1" applyFont="1" applyFill="1" applyBorder="1" applyAlignment="1">
      <alignment horizontal="center" vertical="center"/>
    </xf>
    <xf numFmtId="3" fontId="21" fillId="2" borderId="3" xfId="4" applyNumberFormat="1" applyFont="1" applyFill="1" applyBorder="1" applyAlignment="1">
      <alignment horizontal="center" vertical="center"/>
    </xf>
    <xf numFmtId="3" fontId="8" fillId="2" borderId="0" xfId="4" applyNumberFormat="1" applyFont="1" applyFill="1" applyAlignment="1">
      <alignment horizontal="center" vertical="center"/>
    </xf>
    <xf numFmtId="3" fontId="8" fillId="2" borderId="1" xfId="4" applyNumberFormat="1" applyFont="1" applyFill="1" applyBorder="1" applyAlignment="1">
      <alignment horizontal="right" vertical="center"/>
    </xf>
    <xf numFmtId="3" fontId="8" fillId="2" borderId="4" xfId="4" applyNumberFormat="1" applyFont="1" applyFill="1" applyBorder="1" applyAlignment="1">
      <alignment horizontal="center" vertical="center"/>
    </xf>
    <xf numFmtId="3" fontId="8" fillId="2" borderId="5" xfId="4" applyNumberFormat="1" applyFont="1" applyFill="1" applyBorder="1" applyAlignment="1">
      <alignment horizontal="center" vertical="center"/>
    </xf>
    <xf numFmtId="3" fontId="8" fillId="2" borderId="6" xfId="4" applyNumberFormat="1" applyFont="1" applyFill="1" applyBorder="1" applyAlignment="1">
      <alignment horizontal="right" vertical="center"/>
    </xf>
    <xf numFmtId="3" fontId="18" fillId="2" borderId="0" xfId="4" applyNumberFormat="1" applyFont="1" applyFill="1" applyAlignment="1">
      <alignment vertical="center"/>
    </xf>
    <xf numFmtId="3" fontId="15" fillId="2" borderId="0" xfId="4" applyNumberFormat="1" applyFont="1" applyFill="1" applyAlignment="1">
      <alignment horizontal="right" vertical="center"/>
    </xf>
    <xf numFmtId="3" fontId="15" fillId="2" borderId="0" xfId="4" applyNumberFormat="1" applyFont="1" applyFill="1" applyAlignment="1">
      <alignment vertical="center"/>
    </xf>
    <xf numFmtId="3" fontId="24" fillId="2" borderId="0" xfId="4" applyNumberFormat="1" applyFont="1" applyFill="1" applyAlignment="1">
      <alignment horizontal="center" vertical="center"/>
    </xf>
    <xf numFmtId="3" fontId="17" fillId="2" borderId="0" xfId="4" applyNumberFormat="1" applyFont="1" applyFill="1" applyAlignment="1">
      <alignment vertical="center"/>
    </xf>
    <xf numFmtId="3" fontId="13" fillId="2" borderId="1" xfId="4" applyNumberFormat="1" applyFont="1" applyFill="1" applyBorder="1" applyAlignment="1">
      <alignment horizontal="right" vertical="center"/>
    </xf>
    <xf numFmtId="0" fontId="23" fillId="2" borderId="0" xfId="4" applyFont="1" applyFill="1" applyAlignment="1">
      <alignment horizontal="center" vertical="center"/>
    </xf>
    <xf numFmtId="0" fontId="20" fillId="2" borderId="0" xfId="0" applyFont="1" applyFill="1" applyAlignment="1">
      <alignment horizontal="center" vertical="center"/>
    </xf>
    <xf numFmtId="3" fontId="13" fillId="2" borderId="0" xfId="0" applyNumberFormat="1" applyFont="1" applyFill="1" applyAlignment="1">
      <alignment horizontal="right" vertical="center"/>
    </xf>
    <xf numFmtId="3" fontId="8" fillId="2" borderId="0" xfId="4" applyNumberFormat="1" applyFont="1" applyFill="1" applyAlignment="1">
      <alignment vertical="center"/>
    </xf>
    <xf numFmtId="3" fontId="23" fillId="2" borderId="0" xfId="0" applyNumberFormat="1" applyFont="1" applyFill="1" applyAlignment="1">
      <alignment horizontal="right" vertical="center"/>
    </xf>
    <xf numFmtId="3" fontId="23" fillId="2" borderId="0" xfId="0" quotePrefix="1" applyNumberFormat="1" applyFont="1" applyFill="1" applyAlignment="1">
      <alignment horizontal="right" vertical="center"/>
    </xf>
    <xf numFmtId="3" fontId="12" fillId="2" borderId="0" xfId="5" applyNumberFormat="1" applyFont="1" applyFill="1" applyAlignment="1">
      <alignment horizontal="right" vertical="center"/>
    </xf>
    <xf numFmtId="3" fontId="20" fillId="2" borderId="0" xfId="0" applyNumberFormat="1" applyFont="1" applyFill="1" applyAlignment="1">
      <alignment horizontal="center" vertical="center"/>
    </xf>
    <xf numFmtId="3" fontId="13" fillId="2" borderId="1" xfId="0" applyNumberFormat="1" applyFont="1" applyFill="1" applyBorder="1" applyAlignment="1">
      <alignment vertical="center"/>
    </xf>
    <xf numFmtId="3" fontId="13" fillId="2" borderId="0" xfId="0" applyNumberFormat="1" applyFont="1" applyFill="1" applyAlignment="1">
      <alignment vertical="center"/>
    </xf>
    <xf numFmtId="3" fontId="20" fillId="2" borderId="0" xfId="4" applyNumberFormat="1" applyFont="1" applyFill="1" applyAlignment="1">
      <alignment horizontal="center" vertical="center" wrapText="1"/>
    </xf>
    <xf numFmtId="3" fontId="14" fillId="2" borderId="0" xfId="5" applyNumberFormat="1" applyFont="1" applyFill="1" applyAlignment="1">
      <alignment horizontal="right" vertical="center"/>
    </xf>
    <xf numFmtId="3" fontId="14" fillId="2" borderId="0" xfId="0" applyNumberFormat="1" applyFont="1" applyFill="1" applyAlignment="1">
      <alignment horizontal="right" vertical="center"/>
    </xf>
    <xf numFmtId="3" fontId="13" fillId="2" borderId="7" xfId="0" applyNumberFormat="1" applyFont="1" applyFill="1" applyBorder="1" applyAlignment="1">
      <alignment vertical="center"/>
    </xf>
    <xf numFmtId="0" fontId="5" fillId="2" borderId="0" xfId="6" applyFont="1" applyFill="1" applyAlignment="1">
      <alignment vertical="center"/>
    </xf>
    <xf numFmtId="3" fontId="8" fillId="2" borderId="1" xfId="0" applyNumberFormat="1" applyFont="1" applyFill="1" applyBorder="1" applyAlignment="1">
      <alignment vertical="center"/>
    </xf>
    <xf numFmtId="49" fontId="8" fillId="2" borderId="0" xfId="4" applyNumberFormat="1" applyFont="1" applyFill="1" applyAlignment="1">
      <alignment horizontal="left" vertical="center" wrapText="1"/>
    </xf>
    <xf numFmtId="49" fontId="13" fillId="2" borderId="0" xfId="4" applyNumberFormat="1" applyFont="1" applyFill="1" applyAlignment="1">
      <alignment horizontal="left" vertical="center" wrapText="1"/>
    </xf>
    <xf numFmtId="3" fontId="13" fillId="2" borderId="0" xfId="4" applyNumberFormat="1" applyFont="1" applyFill="1"/>
    <xf numFmtId="3" fontId="8" fillId="2" borderId="0" xfId="4" applyNumberFormat="1" applyFont="1" applyFill="1" applyAlignment="1">
      <alignment horizontal="center" vertical="center" wrapText="1"/>
    </xf>
    <xf numFmtId="3" fontId="13" fillId="2" borderId="0" xfId="4" quotePrefix="1" applyNumberFormat="1" applyFont="1" applyFill="1" applyAlignment="1">
      <alignment vertical="center"/>
    </xf>
    <xf numFmtId="3" fontId="13" fillId="2" borderId="0" xfId="0" quotePrefix="1" applyNumberFormat="1" applyFont="1" applyFill="1" applyAlignment="1">
      <alignment vertical="center"/>
    </xf>
    <xf numFmtId="3" fontId="12" fillId="2" borderId="0" xfId="2" applyNumberFormat="1" applyFont="1" applyFill="1" applyAlignment="1">
      <alignment horizontal="left" vertical="center"/>
    </xf>
    <xf numFmtId="3" fontId="13" fillId="2" borderId="0" xfId="2" applyNumberFormat="1" applyFont="1" applyFill="1" applyAlignment="1">
      <alignment vertical="center"/>
    </xf>
    <xf numFmtId="49" fontId="14" fillId="2" borderId="0" xfId="6" applyNumberFormat="1" applyFont="1" applyFill="1" applyAlignment="1">
      <alignment horizontal="center" vertical="center"/>
    </xf>
    <xf numFmtId="0" fontId="9" fillId="2" borderId="0" xfId="6" applyFont="1" applyFill="1" applyAlignment="1">
      <alignment horizontal="center" vertical="center"/>
    </xf>
    <xf numFmtId="3" fontId="13" fillId="2" borderId="0" xfId="6" applyNumberFormat="1" applyFont="1" applyFill="1" applyAlignment="1">
      <alignment vertical="center"/>
    </xf>
    <xf numFmtId="0" fontId="8" fillId="2" borderId="0" xfId="6" applyFont="1" applyFill="1" applyAlignment="1">
      <alignment vertical="center"/>
    </xf>
    <xf numFmtId="0" fontId="13" fillId="2" borderId="0" xfId="6" applyFont="1" applyFill="1" applyAlignment="1">
      <alignment horizontal="center" vertical="center"/>
    </xf>
    <xf numFmtId="165" fontId="13" fillId="2" borderId="0" xfId="6" applyNumberFormat="1" applyFont="1" applyFill="1" applyAlignment="1">
      <alignment vertical="center"/>
    </xf>
    <xf numFmtId="0" fontId="13" fillId="2" borderId="0" xfId="6" applyFont="1" applyFill="1" applyAlignment="1">
      <alignment horizontal="right" vertical="center"/>
    </xf>
    <xf numFmtId="0" fontId="14" fillId="2" borderId="0" xfId="6" applyFont="1" applyFill="1" applyAlignment="1">
      <alignment vertical="center"/>
    </xf>
    <xf numFmtId="0" fontId="12" fillId="2" borderId="0" xfId="6" applyFont="1" applyFill="1" applyAlignment="1">
      <alignment vertical="center"/>
    </xf>
    <xf numFmtId="3" fontId="8" fillId="2" borderId="0" xfId="5" applyNumberFormat="1" applyFont="1" applyFill="1" applyAlignment="1">
      <alignment vertical="center"/>
    </xf>
    <xf numFmtId="0" fontId="27" fillId="2" borderId="0" xfId="6" applyFont="1" applyFill="1" applyAlignment="1">
      <alignment vertical="center"/>
    </xf>
    <xf numFmtId="3" fontId="12" fillId="2" borderId="0" xfId="5" applyNumberFormat="1" applyFont="1" applyFill="1" applyAlignment="1">
      <alignment horizontal="center" vertical="center"/>
    </xf>
    <xf numFmtId="3" fontId="12" fillId="2" borderId="0" xfId="2" applyNumberFormat="1" applyFont="1" applyFill="1" applyAlignment="1">
      <alignment horizontal="center" vertical="center"/>
    </xf>
    <xf numFmtId="3" fontId="14" fillId="2" borderId="0" xfId="2" applyNumberFormat="1" applyFont="1" applyFill="1" applyAlignment="1">
      <alignment horizontal="center" vertical="center"/>
    </xf>
    <xf numFmtId="3" fontId="13" fillId="2" borderId="0" xfId="5" applyNumberFormat="1" applyFont="1" applyFill="1" applyAlignment="1">
      <alignment horizontal="center" vertical="center"/>
    </xf>
    <xf numFmtId="3" fontId="14" fillId="2" borderId="0" xfId="5" applyNumberFormat="1" applyFont="1" applyFill="1" applyAlignment="1">
      <alignment vertical="center"/>
    </xf>
    <xf numFmtId="3" fontId="34" fillId="2" borderId="0" xfId="5" applyNumberFormat="1" applyFont="1" applyFill="1" applyAlignment="1">
      <alignment horizontal="center" vertical="center"/>
    </xf>
    <xf numFmtId="3" fontId="33" fillId="2" borderId="0" xfId="5" applyNumberFormat="1" applyFont="1" applyFill="1" applyAlignment="1">
      <alignment horizontal="center" vertical="center"/>
    </xf>
    <xf numFmtId="0" fontId="14" fillId="2" borderId="0" xfId="6" applyFont="1" applyFill="1" applyAlignment="1">
      <alignment horizontal="right" vertical="center"/>
    </xf>
    <xf numFmtId="3" fontId="16" fillId="2" borderId="8" xfId="6" applyNumberFormat="1" applyFont="1" applyFill="1" applyBorder="1" applyAlignment="1">
      <alignment horizontal="center" vertical="center" wrapText="1"/>
    </xf>
    <xf numFmtId="3" fontId="16" fillId="2" borderId="9" xfId="6" applyNumberFormat="1" applyFont="1" applyFill="1" applyBorder="1" applyAlignment="1">
      <alignment horizontal="center" vertical="center" wrapText="1"/>
    </xf>
    <xf numFmtId="3" fontId="12" fillId="2" borderId="1" xfId="5" applyNumberFormat="1" applyFont="1" applyFill="1" applyBorder="1" applyAlignment="1">
      <alignment horizontal="center" vertical="center"/>
    </xf>
    <xf numFmtId="3" fontId="12" fillId="2" borderId="1" xfId="5" applyNumberFormat="1" applyFont="1" applyFill="1" applyBorder="1" applyAlignment="1">
      <alignment horizontal="right" vertical="center" wrapText="1"/>
    </xf>
    <xf numFmtId="3" fontId="5" fillId="2" borderId="1" xfId="3" applyNumberFormat="1" applyFont="1" applyFill="1" applyBorder="1" applyAlignment="1">
      <alignment horizontal="right" vertical="center" wrapText="1"/>
    </xf>
    <xf numFmtId="3" fontId="12" fillId="2" borderId="1" xfId="3" applyNumberFormat="1" applyFont="1" applyFill="1" applyBorder="1" applyAlignment="1">
      <alignment horizontal="right" vertical="center" wrapText="1"/>
    </xf>
    <xf numFmtId="3" fontId="5" fillId="2" borderId="0" xfId="5" applyNumberFormat="1" applyFont="1" applyFill="1" applyAlignment="1">
      <alignment horizontal="center" vertical="center"/>
    </xf>
    <xf numFmtId="3" fontId="5" fillId="2" borderId="5" xfId="5" applyNumberFormat="1" applyFont="1" applyFill="1" applyBorder="1" applyAlignment="1">
      <alignment vertical="center"/>
    </xf>
    <xf numFmtId="3" fontId="14" fillId="2" borderId="0" xfId="5" applyNumberFormat="1" applyFont="1" applyFill="1" applyAlignment="1">
      <alignment horizontal="center" vertical="center"/>
    </xf>
    <xf numFmtId="3" fontId="5" fillId="2" borderId="1" xfId="6" applyNumberFormat="1" applyFont="1" applyFill="1" applyBorder="1" applyAlignment="1">
      <alignment vertical="center"/>
    </xf>
    <xf numFmtId="3" fontId="8" fillId="2" borderId="0" xfId="5" applyNumberFormat="1" applyFont="1" applyFill="1" applyAlignment="1">
      <alignment horizontal="center" vertical="center"/>
    </xf>
    <xf numFmtId="3" fontId="5" fillId="2" borderId="5" xfId="5" applyNumberFormat="1" applyFont="1" applyFill="1" applyBorder="1" applyAlignment="1">
      <alignment horizontal="right" vertical="center"/>
    </xf>
    <xf numFmtId="3" fontId="12" fillId="2" borderId="0" xfId="5" applyNumberFormat="1" applyFont="1" applyFill="1" applyAlignment="1">
      <alignment vertical="center" wrapText="1"/>
    </xf>
    <xf numFmtId="3" fontId="14" fillId="2" borderId="0" xfId="5" applyNumberFormat="1" applyFont="1" applyFill="1" applyAlignment="1">
      <alignment horizontal="center" vertical="center" wrapText="1"/>
    </xf>
    <xf numFmtId="3" fontId="14" fillId="2" borderId="1" xfId="5" applyNumberFormat="1" applyFont="1" applyFill="1" applyBorder="1" applyAlignment="1">
      <alignment horizontal="center" vertical="center" wrapText="1"/>
    </xf>
    <xf numFmtId="3" fontId="5" fillId="2" borderId="1" xfId="5" applyNumberFormat="1" applyFont="1" applyFill="1" applyBorder="1" applyAlignment="1">
      <alignment horizontal="right" vertical="center" wrapText="1"/>
    </xf>
    <xf numFmtId="3" fontId="9" fillId="2" borderId="0" xfId="5" applyNumberFormat="1" applyFont="1" applyFill="1" applyAlignment="1">
      <alignment horizontal="right" vertical="center"/>
    </xf>
    <xf numFmtId="3" fontId="29" fillId="2" borderId="0" xfId="5" applyNumberFormat="1" applyFont="1" applyFill="1" applyAlignment="1">
      <alignment vertical="center"/>
    </xf>
    <xf numFmtId="3" fontId="5" fillId="2" borderId="0" xfId="5" applyNumberFormat="1" applyFont="1" applyFill="1" applyAlignment="1">
      <alignment horizontal="right" vertical="center"/>
    </xf>
    <xf numFmtId="3" fontId="12" fillId="2" borderId="0" xfId="2" applyNumberFormat="1" applyFont="1" applyFill="1" applyAlignment="1">
      <alignment vertical="center"/>
    </xf>
    <xf numFmtId="3" fontId="5" fillId="2" borderId="0" xfId="2" applyNumberFormat="1" applyFont="1" applyFill="1" applyAlignment="1">
      <alignment horizontal="center" vertical="center"/>
    </xf>
    <xf numFmtId="3" fontId="30" fillId="2" borderId="0" xfId="5" applyNumberFormat="1" applyFont="1" applyFill="1" applyAlignment="1">
      <alignment vertical="center"/>
    </xf>
    <xf numFmtId="3" fontId="5" fillId="2" borderId="5" xfId="2" applyNumberFormat="1" applyFont="1" applyFill="1" applyBorder="1" applyAlignment="1">
      <alignment horizontal="right" vertical="center"/>
    </xf>
    <xf numFmtId="3" fontId="14" fillId="2" borderId="0" xfId="2" applyNumberFormat="1" applyFont="1" applyFill="1" applyAlignment="1">
      <alignment horizontal="right" vertical="center"/>
    </xf>
    <xf numFmtId="49" fontId="9" fillId="2" borderId="0" xfId="6" applyNumberFormat="1" applyFont="1" applyFill="1" applyAlignment="1">
      <alignment horizontal="center" vertical="center"/>
    </xf>
    <xf numFmtId="0" fontId="6" fillId="2" borderId="0" xfId="6" applyFont="1" applyFill="1" applyAlignment="1">
      <alignment vertical="center"/>
    </xf>
    <xf numFmtId="3" fontId="32" fillId="2" borderId="0" xfId="5" applyNumberFormat="1" applyFont="1" applyFill="1" applyAlignment="1">
      <alignment horizontal="center" vertical="center"/>
    </xf>
    <xf numFmtId="3" fontId="5" fillId="2" borderId="1" xfId="5" applyNumberFormat="1" applyFont="1" applyFill="1" applyBorder="1" applyAlignment="1">
      <alignment horizontal="center" vertical="center"/>
    </xf>
    <xf numFmtId="0" fontId="9" fillId="2" borderId="0" xfId="2" applyFont="1" applyFill="1" applyAlignment="1">
      <alignment vertical="center" wrapText="1"/>
    </xf>
    <xf numFmtId="3" fontId="10" fillId="2" borderId="1" xfId="2" applyNumberFormat="1" applyFont="1" applyFill="1" applyBorder="1" applyAlignment="1">
      <alignment horizontal="left" vertical="center"/>
    </xf>
    <xf numFmtId="1" fontId="6" fillId="2" borderId="0" xfId="6" applyNumberFormat="1" applyFont="1" applyFill="1" applyAlignment="1">
      <alignment horizontal="right" vertical="center"/>
    </xf>
    <xf numFmtId="49" fontId="6" fillId="2" borderId="0" xfId="5" applyNumberFormat="1" applyFont="1" applyFill="1" applyAlignment="1">
      <alignment horizontal="center" vertical="center"/>
    </xf>
    <xf numFmtId="3" fontId="5" fillId="2" borderId="1" xfId="5" applyNumberFormat="1" applyFont="1" applyFill="1" applyBorder="1" applyAlignment="1">
      <alignment horizontal="center" vertical="center" wrapText="1"/>
    </xf>
    <xf numFmtId="3" fontId="18" fillId="2" borderId="0" xfId="4" applyNumberFormat="1" applyFont="1" applyFill="1" applyAlignment="1">
      <alignment horizontal="center" vertical="center" wrapText="1"/>
    </xf>
    <xf numFmtId="3" fontId="13" fillId="2" borderId="5" xfId="5" applyNumberFormat="1" applyFont="1" applyFill="1" applyBorder="1" applyAlignment="1">
      <alignment vertical="center"/>
    </xf>
    <xf numFmtId="3" fontId="13" fillId="2" borderId="5" xfId="5" applyNumberFormat="1" applyFont="1" applyFill="1" applyBorder="1" applyAlignment="1">
      <alignment vertical="center" wrapText="1"/>
    </xf>
    <xf numFmtId="3" fontId="8" fillId="2" borderId="5" xfId="6" applyNumberFormat="1" applyFont="1" applyFill="1" applyBorder="1" applyAlignment="1">
      <alignment vertical="center"/>
    </xf>
    <xf numFmtId="3" fontId="5" fillId="2" borderId="5" xfId="5" applyNumberFormat="1" applyFont="1" applyFill="1" applyBorder="1" applyAlignment="1">
      <alignment horizontal="center" vertical="center"/>
    </xf>
    <xf numFmtId="3" fontId="12" fillId="2" borderId="5" xfId="5" applyNumberFormat="1" applyFont="1" applyFill="1" applyBorder="1" applyAlignment="1">
      <alignment horizontal="center" vertical="center" wrapText="1"/>
    </xf>
    <xf numFmtId="3" fontId="5" fillId="2" borderId="0" xfId="5" applyNumberFormat="1" applyFont="1" applyFill="1" applyAlignment="1">
      <alignment horizontal="right" vertical="center" wrapText="1"/>
    </xf>
    <xf numFmtId="0" fontId="6" fillId="2" borderId="0" xfId="4" applyFont="1" applyFill="1" applyAlignment="1">
      <alignment vertical="center"/>
    </xf>
    <xf numFmtId="3" fontId="9" fillId="2" borderId="0" xfId="6" applyNumberFormat="1" applyFont="1" applyFill="1" applyAlignment="1">
      <alignment horizontal="right" vertical="center"/>
    </xf>
    <xf numFmtId="3" fontId="10" fillId="2" borderId="0" xfId="2" applyNumberFormat="1" applyFont="1" applyFill="1" applyAlignment="1">
      <alignment horizontal="left" vertical="center"/>
    </xf>
    <xf numFmtId="3" fontId="13" fillId="2" borderId="0" xfId="4" applyNumberFormat="1" applyFont="1" applyFill="1" applyAlignment="1">
      <alignment horizontal="center" vertical="center"/>
    </xf>
    <xf numFmtId="3" fontId="10" fillId="2" borderId="0" xfId="4" applyNumberFormat="1" applyFont="1" applyFill="1" applyAlignment="1">
      <alignment horizontal="left" vertical="center"/>
    </xf>
    <xf numFmtId="3" fontId="9" fillId="2" borderId="0" xfId="4" applyNumberFormat="1" applyFont="1" applyFill="1" applyAlignment="1">
      <alignment vertical="center"/>
    </xf>
    <xf numFmtId="3" fontId="12" fillId="2" borderId="1" xfId="5" applyNumberFormat="1" applyFont="1" applyFill="1" applyBorder="1" applyAlignment="1">
      <alignment vertical="center" wrapText="1"/>
    </xf>
    <xf numFmtId="3" fontId="12" fillId="2" borderId="1" xfId="5" applyNumberFormat="1" applyFont="1" applyFill="1" applyBorder="1" applyAlignment="1">
      <alignment horizontal="left" vertical="center" wrapText="1"/>
    </xf>
    <xf numFmtId="3" fontId="28" fillId="2" borderId="0" xfId="4" applyNumberFormat="1" applyFont="1" applyFill="1" applyAlignment="1">
      <alignment horizontal="center" vertical="center"/>
    </xf>
    <xf numFmtId="3" fontId="13" fillId="2" borderId="10" xfId="4" applyNumberFormat="1" applyFont="1" applyFill="1" applyBorder="1" applyAlignment="1">
      <alignment horizontal="center" vertical="center"/>
    </xf>
    <xf numFmtId="3" fontId="8" fillId="2" borderId="11" xfId="4" applyNumberFormat="1" applyFont="1" applyFill="1" applyBorder="1" applyAlignment="1">
      <alignment horizontal="center" vertical="center"/>
    </xf>
    <xf numFmtId="0" fontId="13" fillId="2" borderId="0" xfId="0" applyFont="1" applyFill="1" applyAlignment="1">
      <alignment horizontal="left" vertical="center"/>
    </xf>
    <xf numFmtId="0" fontId="11" fillId="2" borderId="0" xfId="6" applyFont="1" applyFill="1" applyAlignment="1">
      <alignment horizontal="center" vertical="center"/>
    </xf>
    <xf numFmtId="3" fontId="18" fillId="2" borderId="0" xfId="4" applyNumberFormat="1" applyFont="1" applyFill="1" applyAlignment="1">
      <alignment horizontal="left" vertical="center"/>
    </xf>
    <xf numFmtId="3" fontId="13" fillId="2" borderId="0" xfId="4" applyNumberFormat="1" applyFont="1" applyFill="1" applyAlignment="1">
      <alignment horizontal="center" vertical="center" wrapText="1"/>
    </xf>
    <xf numFmtId="3" fontId="10" fillId="2" borderId="0" xfId="2" applyNumberFormat="1" applyFont="1" applyFill="1" applyAlignment="1">
      <alignment horizontal="right" vertical="center"/>
    </xf>
    <xf numFmtId="49" fontId="9" fillId="2" borderId="0" xfId="4" applyNumberFormat="1" applyFont="1" applyFill="1" applyAlignment="1">
      <alignment horizontal="left" vertical="center" wrapText="1"/>
    </xf>
    <xf numFmtId="3" fontId="12" fillId="2" borderId="0" xfId="5" applyNumberFormat="1" applyFont="1" applyFill="1" applyAlignment="1">
      <alignment horizontal="left" vertical="center" wrapText="1"/>
    </xf>
    <xf numFmtId="3" fontId="11" fillId="2" borderId="0" xfId="4" applyNumberFormat="1" applyFont="1" applyFill="1" applyAlignment="1">
      <alignment horizontal="center" vertical="center"/>
    </xf>
    <xf numFmtId="3" fontId="6" fillId="2" borderId="0" xfId="4" applyNumberFormat="1" applyFont="1" applyFill="1" applyAlignment="1">
      <alignment horizontal="center" vertical="center"/>
    </xf>
    <xf numFmtId="164" fontId="13" fillId="2" borderId="0" xfId="1" applyFont="1" applyFill="1" applyBorder="1" applyAlignment="1">
      <alignment horizontal="center" vertical="center"/>
    </xf>
    <xf numFmtId="165" fontId="9" fillId="2" borderId="0" xfId="6" applyNumberFormat="1" applyFont="1" applyFill="1" applyAlignment="1">
      <alignment vertical="center"/>
    </xf>
    <xf numFmtId="0" fontId="37" fillId="2" borderId="1" xfId="0" applyFont="1" applyFill="1" applyBorder="1" applyAlignment="1">
      <alignment horizontal="left" vertical="center" wrapText="1"/>
    </xf>
    <xf numFmtId="0" fontId="36" fillId="2" borderId="5" xfId="0" applyFont="1" applyFill="1" applyBorder="1" applyAlignment="1">
      <alignment horizontal="left" vertical="center" wrapText="1"/>
    </xf>
    <xf numFmtId="3" fontId="8" fillId="2" borderId="5" xfId="5" applyNumberFormat="1" applyFont="1" applyFill="1" applyBorder="1" applyAlignment="1">
      <alignment horizontal="center" vertical="center" wrapText="1"/>
    </xf>
    <xf numFmtId="3" fontId="8" fillId="2" borderId="5" xfId="5" applyNumberFormat="1" applyFont="1" applyFill="1" applyBorder="1" applyAlignment="1">
      <alignment horizontal="center" vertical="center"/>
    </xf>
    <xf numFmtId="3" fontId="8" fillId="2" borderId="5" xfId="5" applyNumberFormat="1" applyFont="1" applyFill="1" applyBorder="1" applyAlignment="1">
      <alignment horizontal="right" vertical="center"/>
    </xf>
    <xf numFmtId="3" fontId="5" fillId="2" borderId="1" xfId="5" applyNumberFormat="1" applyFont="1" applyFill="1" applyBorder="1" applyAlignment="1">
      <alignment vertical="center"/>
    </xf>
    <xf numFmtId="3" fontId="5" fillId="2" borderId="1" xfId="5" applyNumberFormat="1" applyFont="1" applyFill="1" applyBorder="1" applyAlignment="1">
      <alignment vertical="center" wrapText="1"/>
    </xf>
    <xf numFmtId="3" fontId="10" fillId="2" borderId="1" xfId="2" applyNumberFormat="1" applyFont="1" applyFill="1" applyBorder="1" applyAlignment="1">
      <alignment horizontal="right" vertical="center"/>
    </xf>
    <xf numFmtId="0" fontId="13" fillId="2" borderId="0" xfId="0" applyFont="1" applyFill="1" applyAlignment="1">
      <alignment horizontal="center" vertical="center"/>
    </xf>
    <xf numFmtId="3" fontId="8" fillId="2" borderId="0" xfId="2" applyNumberFormat="1" applyFont="1" applyFill="1" applyAlignment="1">
      <alignment horizontal="center" vertical="center"/>
    </xf>
    <xf numFmtId="3" fontId="8" fillId="2" borderId="5" xfId="6" applyNumberFormat="1" applyFont="1" applyFill="1" applyBorder="1" applyAlignment="1">
      <alignment horizontal="right" vertical="center" wrapText="1"/>
    </xf>
    <xf numFmtId="3" fontId="26" fillId="2" borderId="0" xfId="6" applyNumberFormat="1" applyFont="1" applyFill="1" applyAlignment="1">
      <alignment horizontal="right" vertical="center" wrapText="1"/>
    </xf>
    <xf numFmtId="3" fontId="8" fillId="2" borderId="0" xfId="5" applyNumberFormat="1" applyFont="1" applyFill="1" applyAlignment="1">
      <alignment horizontal="right" vertical="center"/>
    </xf>
    <xf numFmtId="3" fontId="26" fillId="2" borderId="0" xfId="4" applyNumberFormat="1" applyFont="1" applyFill="1" applyAlignment="1">
      <alignment horizontal="left" vertical="center"/>
    </xf>
    <xf numFmtId="3" fontId="14" fillId="2" borderId="0" xfId="4" applyNumberFormat="1" applyFont="1" applyFill="1" applyAlignment="1">
      <alignment horizontal="left" vertical="center" wrapText="1"/>
    </xf>
    <xf numFmtId="3" fontId="9" fillId="2" borderId="1" xfId="5" applyNumberFormat="1" applyFont="1" applyFill="1" applyBorder="1" applyAlignment="1">
      <alignment vertical="center"/>
    </xf>
    <xf numFmtId="3" fontId="9" fillId="2" borderId="1" xfId="5" applyNumberFormat="1" applyFont="1" applyFill="1" applyBorder="1" applyAlignment="1">
      <alignment vertical="center" wrapText="1"/>
    </xf>
    <xf numFmtId="3" fontId="10" fillId="2" borderId="1" xfId="6" applyNumberFormat="1" applyFont="1" applyFill="1" applyBorder="1" applyAlignment="1">
      <alignment vertical="center"/>
    </xf>
    <xf numFmtId="49" fontId="35" fillId="2" borderId="0" xfId="5" applyNumberFormat="1" applyFont="1" applyFill="1" applyAlignment="1">
      <alignment horizontal="center" vertical="center"/>
    </xf>
    <xf numFmtId="3" fontId="13" fillId="2" borderId="1" xfId="0" applyNumberFormat="1" applyFont="1" applyFill="1" applyBorder="1" applyAlignment="1">
      <alignment horizontal="right" vertical="center" wrapText="1"/>
    </xf>
    <xf numFmtId="3" fontId="13" fillId="2" borderId="1" xfId="6" applyNumberFormat="1" applyFont="1" applyFill="1" applyBorder="1" applyAlignment="1">
      <alignment horizontal="right" vertical="center" wrapText="1"/>
    </xf>
    <xf numFmtId="3" fontId="13" fillId="2" borderId="1" xfId="6" applyNumberFormat="1" applyFont="1" applyFill="1" applyBorder="1" applyAlignment="1">
      <alignment vertical="center" wrapText="1"/>
    </xf>
    <xf numFmtId="3" fontId="8" fillId="2" borderId="1" xfId="6" applyNumberFormat="1" applyFont="1" applyFill="1" applyBorder="1" applyAlignment="1">
      <alignment horizontal="right" vertical="center" wrapText="1"/>
    </xf>
    <xf numFmtId="3" fontId="26" fillId="2" borderId="0" xfId="4" applyNumberFormat="1" applyFont="1" applyFill="1" applyAlignment="1">
      <alignment horizontal="left" vertical="center" wrapText="1"/>
    </xf>
    <xf numFmtId="3" fontId="12" fillId="2" borderId="0" xfId="6" applyNumberFormat="1" applyFont="1" applyFill="1" applyAlignment="1">
      <alignment vertical="center"/>
    </xf>
    <xf numFmtId="3" fontId="8" fillId="2" borderId="5" xfId="2" applyNumberFormat="1" applyFont="1" applyFill="1" applyBorder="1" applyAlignment="1">
      <alignment horizontal="center" vertical="center"/>
    </xf>
    <xf numFmtId="0" fontId="13" fillId="2" borderId="0" xfId="2" applyFont="1" applyFill="1" applyAlignment="1">
      <alignment horizontal="center" vertical="center"/>
    </xf>
    <xf numFmtId="0" fontId="13" fillId="2" borderId="0" xfId="2" applyFont="1" applyFill="1" applyAlignment="1">
      <alignment vertical="center"/>
    </xf>
    <xf numFmtId="0" fontId="8" fillId="2" borderId="0" xfId="2" applyFont="1" applyFill="1" applyAlignment="1">
      <alignment vertical="center"/>
    </xf>
    <xf numFmtId="1" fontId="13" fillId="2" borderId="0" xfId="6" applyNumberFormat="1" applyFont="1" applyFill="1" applyAlignment="1">
      <alignment horizontal="center" vertical="center" wrapText="1"/>
    </xf>
    <xf numFmtId="0" fontId="13" fillId="2" borderId="0" xfId="6" applyFont="1" applyFill="1" applyAlignment="1">
      <alignment horizontal="left" vertical="center" wrapText="1"/>
    </xf>
    <xf numFmtId="3" fontId="8" fillId="2" borderId="5" xfId="6" applyNumberFormat="1" applyFont="1" applyFill="1" applyBorder="1" applyAlignment="1">
      <alignment vertical="center" wrapText="1"/>
    </xf>
    <xf numFmtId="3" fontId="8" fillId="2" borderId="0" xfId="6" applyNumberFormat="1" applyFont="1" applyFill="1" applyAlignment="1">
      <alignment vertical="center" wrapText="1"/>
    </xf>
    <xf numFmtId="0" fontId="14" fillId="2" borderId="0" xfId="6" applyFont="1" applyFill="1" applyAlignment="1">
      <alignment horizontal="center" vertical="center"/>
    </xf>
    <xf numFmtId="3" fontId="8" fillId="2" borderId="0" xfId="5" applyNumberFormat="1" applyFont="1" applyFill="1" applyAlignment="1">
      <alignment horizontal="left" vertical="center"/>
    </xf>
    <xf numFmtId="3" fontId="13" fillId="2" borderId="0" xfId="2" applyNumberFormat="1" applyFont="1" applyFill="1" applyAlignment="1">
      <alignment horizontal="left" vertical="center"/>
    </xf>
    <xf numFmtId="3" fontId="5" fillId="2" borderId="1" xfId="5" applyNumberFormat="1" applyFont="1" applyFill="1" applyBorder="1" applyAlignment="1">
      <alignment horizontal="right" vertical="center"/>
    </xf>
    <xf numFmtId="0" fontId="38" fillId="2" borderId="12" xfId="6" applyFont="1" applyFill="1" applyBorder="1" applyAlignment="1">
      <alignment horizontal="center" vertical="center" wrapText="1"/>
    </xf>
    <xf numFmtId="0" fontId="38" fillId="2" borderId="8" xfId="6" applyFont="1" applyFill="1" applyBorder="1" applyAlignment="1">
      <alignment horizontal="center" vertical="center" wrapText="1"/>
    </xf>
    <xf numFmtId="0" fontId="38" fillId="2" borderId="8" xfId="5" applyFont="1" applyFill="1" applyBorder="1" applyAlignment="1">
      <alignment horizontal="center" vertical="center" wrapText="1"/>
    </xf>
    <xf numFmtId="3" fontId="16" fillId="2" borderId="8" xfId="4" applyNumberFormat="1" applyFont="1" applyFill="1" applyBorder="1" applyAlignment="1">
      <alignment horizontal="center" vertical="center" wrapText="1"/>
    </xf>
    <xf numFmtId="3" fontId="38" fillId="2" borderId="8" xfId="6" applyNumberFormat="1" applyFont="1" applyFill="1" applyBorder="1" applyAlignment="1">
      <alignment horizontal="center" vertical="center" wrapText="1"/>
    </xf>
    <xf numFmtId="3" fontId="38" fillId="2" borderId="8" xfId="4" applyNumberFormat="1" applyFont="1" applyFill="1" applyBorder="1" applyAlignment="1">
      <alignment horizontal="center" vertical="center" wrapText="1"/>
    </xf>
    <xf numFmtId="3" fontId="38" fillId="2" borderId="13" xfId="6" applyNumberFormat="1" applyFont="1" applyFill="1" applyBorder="1" applyAlignment="1">
      <alignment horizontal="center" vertical="center" wrapText="1"/>
    </xf>
    <xf numFmtId="3" fontId="8" fillId="2" borderId="0" xfId="4" applyNumberFormat="1" applyFont="1" applyFill="1" applyAlignment="1">
      <alignment horizontal="left" vertical="center" wrapText="1"/>
    </xf>
    <xf numFmtId="3" fontId="26" fillId="2" borderId="0" xfId="0" applyNumberFormat="1" applyFont="1" applyFill="1" applyAlignment="1">
      <alignment horizontal="left" vertical="center" wrapText="1"/>
    </xf>
    <xf numFmtId="3" fontId="9" fillId="2" borderId="1" xfId="5" applyNumberFormat="1" applyFont="1" applyFill="1" applyBorder="1" applyAlignment="1">
      <alignment horizontal="center" vertical="center" wrapText="1"/>
    </xf>
    <xf numFmtId="3" fontId="26" fillId="2" borderId="1" xfId="5" applyNumberFormat="1" applyFont="1" applyFill="1" applyBorder="1" applyAlignment="1">
      <alignment horizontal="center" vertical="center" wrapText="1"/>
    </xf>
    <xf numFmtId="3" fontId="9" fillId="2" borderId="1" xfId="6" applyNumberFormat="1" applyFont="1" applyFill="1" applyBorder="1" applyAlignment="1">
      <alignment vertical="center"/>
    </xf>
    <xf numFmtId="0" fontId="31" fillId="2" borderId="0" xfId="5" applyFont="1" applyFill="1" applyAlignment="1">
      <alignment horizontal="center" vertical="center"/>
    </xf>
    <xf numFmtId="3" fontId="18" fillId="2" borderId="1" xfId="5" applyNumberFormat="1" applyFont="1" applyFill="1" applyBorder="1" applyAlignment="1">
      <alignment horizontal="center" vertical="center" wrapText="1"/>
    </xf>
    <xf numFmtId="3" fontId="18" fillId="2" borderId="0" xfId="5" applyNumberFormat="1" applyFont="1" applyFill="1" applyAlignment="1">
      <alignment vertical="center"/>
    </xf>
    <xf numFmtId="0" fontId="6" fillId="2" borderId="0" xfId="6" applyFont="1" applyFill="1" applyAlignment="1">
      <alignment horizontal="right" vertical="center"/>
    </xf>
    <xf numFmtId="3" fontId="13" fillId="2" borderId="0" xfId="5" applyNumberFormat="1" applyFont="1" applyFill="1" applyAlignment="1">
      <alignment vertical="center"/>
    </xf>
    <xf numFmtId="3" fontId="8" fillId="2" borderId="0" xfId="0" applyNumberFormat="1" applyFont="1" applyFill="1" applyAlignment="1">
      <alignment vertical="center"/>
    </xf>
    <xf numFmtId="3" fontId="12" fillId="2" borderId="0" xfId="5" applyNumberFormat="1" applyFont="1" applyFill="1" applyAlignment="1">
      <alignment horizontal="left" vertical="center"/>
    </xf>
    <xf numFmtId="0" fontId="13" fillId="0" borderId="0" xfId="6" applyFont="1" applyAlignment="1">
      <alignment vertical="center"/>
    </xf>
    <xf numFmtId="3" fontId="6" fillId="2" borderId="0" xfId="5" applyNumberFormat="1" applyFont="1" applyFill="1" applyAlignment="1">
      <alignment horizontal="center" vertical="center" wrapText="1"/>
    </xf>
    <xf numFmtId="3" fontId="10" fillId="2" borderId="5" xfId="5" applyNumberFormat="1" applyFont="1" applyFill="1" applyBorder="1" applyAlignment="1">
      <alignment horizontal="center" vertical="center"/>
    </xf>
    <xf numFmtId="3" fontId="10" fillId="2" borderId="5" xfId="5" applyNumberFormat="1" applyFont="1" applyFill="1" applyBorder="1" applyAlignment="1">
      <alignment horizontal="right" vertical="center"/>
    </xf>
    <xf numFmtId="3" fontId="10" fillId="2" borderId="0" xfId="5" applyNumberFormat="1" applyFont="1" applyFill="1" applyAlignment="1">
      <alignment horizontal="center" vertical="center"/>
    </xf>
    <xf numFmtId="3" fontId="10" fillId="2" borderId="0" xfId="5" applyNumberFormat="1" applyFont="1" applyFill="1" applyAlignment="1">
      <alignment horizontal="right" vertical="center"/>
    </xf>
    <xf numFmtId="3" fontId="21" fillId="2" borderId="3" xfId="4" applyNumberFormat="1" applyFont="1" applyFill="1" applyBorder="1" applyAlignment="1">
      <alignment horizontal="center" vertical="center" wrapText="1"/>
    </xf>
    <xf numFmtId="0" fontId="36" fillId="0" borderId="1" xfId="0" applyFont="1" applyBorder="1" applyAlignment="1">
      <alignment horizontal="left" vertical="center" wrapText="1"/>
    </xf>
    <xf numFmtId="3" fontId="13" fillId="0" borderId="1" xfId="6"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3" fillId="0" borderId="5" xfId="6" applyNumberFormat="1" applyFont="1" applyBorder="1" applyAlignment="1">
      <alignment vertical="center" wrapText="1"/>
    </xf>
    <xf numFmtId="3" fontId="13" fillId="0" borderId="1" xfId="6" applyNumberFormat="1" applyFont="1" applyBorder="1" applyAlignment="1">
      <alignment vertical="center" wrapText="1"/>
    </xf>
    <xf numFmtId="3" fontId="8" fillId="0" borderId="1" xfId="6" applyNumberFormat="1" applyFont="1" applyBorder="1" applyAlignment="1">
      <alignment horizontal="right" vertical="center" wrapText="1"/>
    </xf>
    <xf numFmtId="3" fontId="8" fillId="0" borderId="5" xfId="6" applyNumberFormat="1" applyFont="1" applyBorder="1" applyAlignment="1">
      <alignment horizontal="right" vertical="center" wrapText="1"/>
    </xf>
    <xf numFmtId="3" fontId="13" fillId="0" borderId="5" xfId="6" applyNumberFormat="1" applyFont="1" applyBorder="1" applyAlignment="1">
      <alignment horizontal="right" vertical="center" wrapText="1"/>
    </xf>
    <xf numFmtId="49" fontId="14" fillId="0" borderId="0" xfId="6" applyNumberFormat="1" applyFont="1" applyAlignment="1">
      <alignment horizontal="center" vertical="center"/>
    </xf>
    <xf numFmtId="3" fontId="9" fillId="0" borderId="1" xfId="5" applyNumberFormat="1" applyFont="1" applyBorder="1" applyAlignment="1">
      <alignment horizontal="center" vertical="center" wrapText="1"/>
    </xf>
    <xf numFmtId="49" fontId="6" fillId="0" borderId="0" xfId="5" applyNumberFormat="1" applyFont="1" applyAlignment="1">
      <alignment horizontal="center" vertical="center"/>
    </xf>
    <xf numFmtId="0" fontId="13" fillId="0" borderId="1" xfId="0" applyFont="1" applyBorder="1" applyAlignment="1">
      <alignment horizontal="left" vertical="center" wrapText="1"/>
    </xf>
    <xf numFmtId="3" fontId="13" fillId="0" borderId="1" xfId="0" applyNumberFormat="1" applyFont="1" applyBorder="1" applyAlignment="1">
      <alignment horizontal="right" vertical="center" wrapText="1"/>
    </xf>
    <xf numFmtId="3" fontId="13" fillId="0" borderId="1" xfId="6" applyNumberFormat="1" applyFont="1" applyBorder="1" applyAlignment="1">
      <alignment horizontal="right" vertical="center" wrapText="1"/>
    </xf>
    <xf numFmtId="0" fontId="9" fillId="0" borderId="1" xfId="6" applyFont="1" applyBorder="1" applyAlignment="1">
      <alignment horizontal="center" vertical="center"/>
    </xf>
    <xf numFmtId="3" fontId="12" fillId="0" borderId="1" xfId="5" applyNumberFormat="1" applyFont="1" applyBorder="1" applyAlignment="1">
      <alignment horizontal="left" vertical="center" wrapText="1"/>
    </xf>
    <xf numFmtId="3" fontId="26" fillId="0" borderId="1" xfId="5" applyNumberFormat="1" applyFont="1" applyBorder="1" applyAlignment="1">
      <alignment horizontal="center" vertical="center" wrapText="1"/>
    </xf>
    <xf numFmtId="3" fontId="12" fillId="0" borderId="1" xfId="5" applyNumberFormat="1" applyFont="1" applyBorder="1" applyAlignment="1">
      <alignment vertical="center"/>
    </xf>
    <xf numFmtId="3" fontId="12" fillId="0" borderId="1" xfId="5" applyNumberFormat="1" applyFont="1" applyBorder="1" applyAlignment="1">
      <alignment vertical="center" wrapText="1"/>
    </xf>
    <xf numFmtId="3" fontId="12" fillId="0" borderId="1" xfId="5" applyNumberFormat="1" applyFont="1" applyBorder="1" applyAlignment="1">
      <alignment horizontal="center" vertical="center"/>
    </xf>
    <xf numFmtId="49" fontId="14" fillId="0" borderId="0" xfId="5" applyNumberFormat="1" applyFont="1" applyAlignment="1">
      <alignment horizontal="center" vertical="center"/>
    </xf>
    <xf numFmtId="3" fontId="9" fillId="0" borderId="1" xfId="5" applyNumberFormat="1" applyFont="1" applyBorder="1" applyAlignment="1">
      <alignment vertical="center"/>
    </xf>
    <xf numFmtId="3" fontId="9" fillId="0" borderId="1" xfId="5" applyNumberFormat="1" applyFont="1" applyBorder="1" applyAlignment="1">
      <alignment vertical="center" wrapText="1"/>
    </xf>
    <xf numFmtId="3" fontId="8" fillId="2" borderId="0" xfId="0" applyNumberFormat="1" applyFont="1" applyFill="1" applyAlignment="1">
      <alignment horizontal="left" vertical="center" wrapText="1"/>
    </xf>
    <xf numFmtId="3" fontId="14" fillId="2" borderId="0" xfId="4" applyNumberFormat="1" applyFont="1" applyFill="1" applyAlignment="1">
      <alignment vertical="center"/>
    </xf>
    <xf numFmtId="3" fontId="8" fillId="2" borderId="0" xfId="4" applyNumberFormat="1" applyFont="1" applyFill="1" applyAlignment="1">
      <alignment horizontal="right" vertical="center"/>
    </xf>
    <xf numFmtId="3" fontId="8" fillId="2" borderId="0" xfId="0" applyNumberFormat="1" applyFont="1" applyFill="1" applyAlignment="1">
      <alignment horizontal="right" vertical="center"/>
    </xf>
    <xf numFmtId="3" fontId="20" fillId="2" borderId="0" xfId="0" quotePrefix="1" applyNumberFormat="1" applyFont="1" applyFill="1" applyAlignment="1">
      <alignment horizontal="right" vertical="center"/>
    </xf>
    <xf numFmtId="3" fontId="8" fillId="2" borderId="0" xfId="4" quotePrefix="1" applyNumberFormat="1" applyFont="1" applyFill="1" applyAlignment="1">
      <alignment vertical="center"/>
    </xf>
    <xf numFmtId="0" fontId="23" fillId="2" borderId="0" xfId="0" applyFont="1" applyFill="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3" fontId="28" fillId="2" borderId="16" xfId="4" applyNumberFormat="1" applyFont="1" applyFill="1" applyBorder="1" applyAlignment="1">
      <alignment horizontal="center" vertical="center" wrapText="1"/>
    </xf>
    <xf numFmtId="3" fontId="21" fillId="2" borderId="17" xfId="4" applyNumberFormat="1" applyFont="1" applyFill="1" applyBorder="1" applyAlignment="1">
      <alignment horizontal="center" vertical="center" wrapText="1"/>
    </xf>
    <xf numFmtId="3" fontId="21" fillId="2" borderId="16" xfId="4" applyNumberFormat="1" applyFont="1" applyFill="1" applyBorder="1" applyAlignment="1">
      <alignment horizontal="center" vertical="center" wrapText="1"/>
    </xf>
    <xf numFmtId="49" fontId="14" fillId="2" borderId="0" xfId="5" applyNumberFormat="1" applyFont="1" applyFill="1" applyAlignment="1">
      <alignment horizontal="center" vertical="center"/>
    </xf>
    <xf numFmtId="3" fontId="39" fillId="2" borderId="0" xfId="0" applyNumberFormat="1" applyFont="1" applyFill="1" applyAlignment="1">
      <alignment horizontal="right" vertical="center"/>
    </xf>
    <xf numFmtId="3" fontId="12" fillId="2" borderId="0" xfId="4" applyNumberFormat="1" applyFont="1" applyFill="1" applyAlignment="1">
      <alignment horizontal="center" vertical="center"/>
    </xf>
    <xf numFmtId="3" fontId="12" fillId="2" borderId="0" xfId="4" applyNumberFormat="1" applyFont="1" applyFill="1" applyAlignment="1">
      <alignment vertical="center"/>
    </xf>
    <xf numFmtId="3" fontId="12" fillId="0" borderId="16" xfId="5" applyNumberFormat="1" applyFont="1" applyBorder="1" applyAlignment="1">
      <alignment vertical="center"/>
    </xf>
    <xf numFmtId="3" fontId="13" fillId="2" borderId="0" xfId="2" applyNumberFormat="1" applyFont="1" applyFill="1" applyAlignment="1">
      <alignment horizontal="center" vertical="center"/>
    </xf>
    <xf numFmtId="3" fontId="12" fillId="2" borderId="0" xfId="4" applyNumberFormat="1" applyFont="1" applyFill="1" applyAlignment="1">
      <alignment horizontal="center"/>
    </xf>
    <xf numFmtId="3" fontId="11" fillId="2" borderId="0" xfId="4" applyNumberFormat="1" applyFont="1" applyFill="1" applyAlignment="1">
      <alignment horizontal="left" vertical="center"/>
    </xf>
    <xf numFmtId="3" fontId="25" fillId="2" borderId="0" xfId="4" applyNumberFormat="1" applyFont="1" applyFill="1" applyAlignment="1">
      <alignment horizontal="left" vertical="center"/>
    </xf>
    <xf numFmtId="3" fontId="25" fillId="2" borderId="0" xfId="4" applyNumberFormat="1" applyFont="1" applyFill="1" applyAlignment="1">
      <alignment horizontal="center" vertical="center"/>
    </xf>
    <xf numFmtId="3" fontId="5" fillId="2" borderId="0" xfId="5" applyNumberFormat="1" applyFont="1" applyFill="1" applyAlignment="1">
      <alignment horizontal="left" vertical="center"/>
    </xf>
    <xf numFmtId="3" fontId="12" fillId="2" borderId="5" xfId="3" applyNumberFormat="1" applyFont="1" applyFill="1" applyBorder="1" applyAlignment="1">
      <alignment horizontal="right" vertical="center" wrapText="1"/>
    </xf>
    <xf numFmtId="3" fontId="12" fillId="2" borderId="5" xfId="5" applyNumberFormat="1" applyFont="1" applyFill="1" applyBorder="1" applyAlignment="1">
      <alignment horizontal="right" vertical="center"/>
    </xf>
    <xf numFmtId="3" fontId="12" fillId="2" borderId="5" xfId="5" applyNumberFormat="1" applyFont="1" applyFill="1" applyBorder="1" applyAlignment="1">
      <alignment vertical="center"/>
    </xf>
    <xf numFmtId="0" fontId="23" fillId="2" borderId="0" xfId="6" applyFont="1" applyFill="1" applyAlignment="1">
      <alignment vertical="center"/>
    </xf>
    <xf numFmtId="3" fontId="5" fillId="2" borderId="0" xfId="5" applyNumberFormat="1" applyFont="1" applyFill="1" applyAlignment="1">
      <alignment horizontal="left" vertical="center" wrapText="1"/>
    </xf>
    <xf numFmtId="0" fontId="10" fillId="2" borderId="0" xfId="6" applyFont="1" applyFill="1" applyAlignment="1">
      <alignment vertical="center"/>
    </xf>
    <xf numFmtId="3" fontId="18" fillId="2" borderId="0" xfId="4" applyNumberFormat="1" applyFont="1" applyFill="1" applyAlignment="1">
      <alignment horizontal="center" vertical="center"/>
    </xf>
    <xf numFmtId="3" fontId="40" fillId="2" borderId="0" xfId="0" applyNumberFormat="1" applyFont="1" applyFill="1" applyAlignment="1">
      <alignment horizontal="right" vertical="center"/>
    </xf>
    <xf numFmtId="3" fontId="10" fillId="2" borderId="0" xfId="4" applyNumberFormat="1" applyFont="1" applyFill="1" applyAlignment="1">
      <alignment vertical="center"/>
    </xf>
    <xf numFmtId="164" fontId="8" fillId="2" borderId="0" xfId="1" applyFont="1" applyFill="1" applyBorder="1" applyAlignment="1">
      <alignment horizontal="center" vertical="center"/>
    </xf>
    <xf numFmtId="0" fontId="37" fillId="2" borderId="0" xfId="6" applyFont="1" applyFill="1" applyAlignment="1">
      <alignment vertical="center"/>
    </xf>
    <xf numFmtId="0" fontId="9" fillId="2" borderId="0" xfId="6" applyFont="1" applyFill="1"/>
    <xf numFmtId="3" fontId="8" fillId="2" borderId="0" xfId="4" applyNumberFormat="1" applyFont="1" applyFill="1" applyAlignment="1">
      <alignment horizontal="center"/>
    </xf>
    <xf numFmtId="3" fontId="8" fillId="2" borderId="0" xfId="4" applyNumberFormat="1" applyFont="1" applyFill="1"/>
    <xf numFmtId="0" fontId="10" fillId="2" borderId="0" xfId="6" applyFont="1" applyFill="1" applyAlignment="1">
      <alignment horizontal="left" vertical="center"/>
    </xf>
    <xf numFmtId="3" fontId="10" fillId="2" borderId="0" xfId="5" applyNumberFormat="1" applyFont="1" applyFill="1" applyAlignment="1">
      <alignment horizontal="left" vertical="center"/>
    </xf>
    <xf numFmtId="3" fontId="38" fillId="2" borderId="14" xfId="4" applyNumberFormat="1" applyFont="1" applyFill="1" applyBorder="1" applyAlignment="1">
      <alignment horizontal="center" vertical="center" wrapText="1"/>
    </xf>
    <xf numFmtId="3" fontId="8" fillId="2" borderId="7" xfId="0" applyNumberFormat="1" applyFont="1" applyFill="1" applyBorder="1" applyAlignment="1">
      <alignment vertical="center"/>
    </xf>
    <xf numFmtId="3" fontId="5" fillId="2" borderId="0" xfId="2" applyNumberFormat="1" applyFont="1" applyFill="1" applyAlignment="1">
      <alignment horizontal="right" vertical="center"/>
    </xf>
    <xf numFmtId="0" fontId="19" fillId="2" borderId="0" xfId="5" applyFont="1" applyFill="1" applyAlignment="1">
      <alignment horizontal="center" vertical="center"/>
    </xf>
    <xf numFmtId="0" fontId="8" fillId="2" borderId="0" xfId="6" applyFont="1" applyFill="1" applyAlignment="1">
      <alignment horizontal="left" vertical="center"/>
    </xf>
    <xf numFmtId="3" fontId="12" fillId="2" borderId="4" xfId="5" applyNumberFormat="1" applyFont="1" applyFill="1" applyBorder="1" applyAlignment="1">
      <alignment vertical="center"/>
    </xf>
    <xf numFmtId="3" fontId="13" fillId="2" borderId="0" xfId="4" quotePrefix="1" applyNumberFormat="1" applyFont="1" applyFill="1" applyAlignment="1">
      <alignment horizontal="right" vertical="center"/>
    </xf>
    <xf numFmtId="3" fontId="8" fillId="2" borderId="1" xfId="4" applyNumberFormat="1" applyFont="1" applyFill="1" applyBorder="1" applyAlignment="1">
      <alignment horizontal="center" vertical="center"/>
    </xf>
    <xf numFmtId="0" fontId="26" fillId="2" borderId="1" xfId="6" applyFont="1" applyFill="1" applyBorder="1" applyAlignment="1">
      <alignment horizontal="center" vertical="center" wrapText="1"/>
    </xf>
    <xf numFmtId="3" fontId="12" fillId="2" borderId="1" xfId="5" applyNumberFormat="1" applyFont="1" applyFill="1" applyBorder="1" applyAlignment="1">
      <alignment vertical="center"/>
    </xf>
    <xf numFmtId="3" fontId="12" fillId="2" borderId="1" xfId="5" applyNumberFormat="1" applyFont="1" applyFill="1" applyBorder="1" applyAlignment="1">
      <alignment horizontal="right" vertical="center"/>
    </xf>
    <xf numFmtId="3" fontId="12" fillId="2" borderId="1" xfId="5" applyNumberFormat="1" applyFont="1" applyFill="1" applyBorder="1" applyAlignment="1">
      <alignment horizontal="center" vertical="center" wrapText="1"/>
    </xf>
    <xf numFmtId="3" fontId="42" fillId="2" borderId="0" xfId="4" applyNumberFormat="1" applyFont="1" applyFill="1" applyAlignment="1">
      <alignment horizontal="center" vertical="center" wrapText="1"/>
    </xf>
    <xf numFmtId="3" fontId="43" fillId="2" borderId="0" xfId="5" applyNumberFormat="1" applyFont="1" applyFill="1" applyAlignment="1">
      <alignment horizontal="center" vertical="center"/>
    </xf>
    <xf numFmtId="3" fontId="43" fillId="2" borderId="0" xfId="5" applyNumberFormat="1" applyFont="1" applyFill="1" applyAlignment="1">
      <alignment horizontal="right" vertical="center"/>
    </xf>
    <xf numFmtId="3" fontId="44" fillId="2" borderId="0" xfId="5" applyNumberFormat="1" applyFont="1" applyFill="1" applyAlignment="1">
      <alignment horizontal="center" vertical="center" wrapText="1"/>
    </xf>
    <xf numFmtId="3" fontId="43" fillId="2" borderId="0" xfId="5" applyNumberFormat="1" applyFont="1" applyFill="1" applyAlignment="1">
      <alignment horizontal="left" vertical="center" wrapText="1"/>
    </xf>
    <xf numFmtId="3" fontId="43" fillId="2" borderId="0" xfId="5" applyNumberFormat="1" applyFont="1" applyFill="1" applyAlignment="1">
      <alignment vertical="center"/>
    </xf>
    <xf numFmtId="0" fontId="43" fillId="2" borderId="0" xfId="6" applyFont="1" applyFill="1" applyAlignment="1">
      <alignment vertical="center"/>
    </xf>
    <xf numFmtId="3" fontId="45" fillId="2" borderId="0" xfId="4" applyNumberFormat="1" applyFont="1" applyFill="1" applyAlignment="1">
      <alignment horizontal="right" vertical="center"/>
    </xf>
    <xf numFmtId="3" fontId="46" fillId="2" borderId="0" xfId="4" applyNumberFormat="1" applyFont="1" applyFill="1" applyAlignment="1">
      <alignment horizontal="center" vertical="center"/>
    </xf>
    <xf numFmtId="3" fontId="47" fillId="2" borderId="0" xfId="5" applyNumberFormat="1" applyFont="1" applyFill="1" applyAlignment="1">
      <alignment vertical="center"/>
    </xf>
    <xf numFmtId="3" fontId="44" fillId="2" borderId="0" xfId="5" applyNumberFormat="1" applyFont="1" applyFill="1" applyAlignment="1">
      <alignment vertical="center"/>
    </xf>
    <xf numFmtId="0" fontId="48" fillId="2" borderId="0" xfId="4" applyFont="1" applyFill="1" applyAlignment="1">
      <alignment horizontal="center" vertical="center"/>
    </xf>
    <xf numFmtId="3" fontId="49" fillId="2" borderId="0" xfId="4" applyNumberFormat="1" applyFont="1" applyFill="1" applyAlignment="1">
      <alignment vertical="center"/>
    </xf>
    <xf numFmtId="3" fontId="45" fillId="2" borderId="0" xfId="4" applyNumberFormat="1" applyFont="1" applyFill="1" applyAlignment="1">
      <alignment vertical="center"/>
    </xf>
    <xf numFmtId="3" fontId="42" fillId="2" borderId="0" xfId="4" applyNumberFormat="1" applyFont="1" applyFill="1" applyAlignment="1">
      <alignment vertical="center"/>
    </xf>
    <xf numFmtId="3" fontId="50" fillId="2" borderId="0" xfId="4" applyNumberFormat="1" applyFont="1" applyFill="1" applyAlignment="1">
      <alignment horizontal="right" vertical="center"/>
    </xf>
    <xf numFmtId="3" fontId="48" fillId="2" borderId="0" xfId="4" applyNumberFormat="1" applyFont="1" applyFill="1" applyAlignment="1">
      <alignment horizontal="center" vertical="center"/>
    </xf>
    <xf numFmtId="3" fontId="45" fillId="2" borderId="0" xfId="4" applyNumberFormat="1" applyFont="1" applyFill="1" applyAlignment="1">
      <alignment horizontal="center" vertical="center"/>
    </xf>
    <xf numFmtId="0" fontId="49" fillId="2" borderId="0" xfId="6" applyFont="1" applyFill="1" applyAlignment="1">
      <alignment horizontal="left" vertical="center"/>
    </xf>
    <xf numFmtId="3" fontId="51" fillId="2" borderId="0" xfId="4" applyNumberFormat="1" applyFont="1" applyFill="1" applyAlignment="1">
      <alignment vertical="center"/>
    </xf>
    <xf numFmtId="0" fontId="48" fillId="2" borderId="0" xfId="0" applyFont="1" applyFill="1" applyAlignment="1">
      <alignment horizontal="center" vertical="center"/>
    </xf>
    <xf numFmtId="3" fontId="52" fillId="2" borderId="0" xfId="0" applyNumberFormat="1" applyFont="1" applyFill="1" applyAlignment="1">
      <alignment horizontal="right" vertical="center"/>
    </xf>
    <xf numFmtId="3" fontId="49" fillId="2" borderId="0" xfId="5" applyNumberFormat="1" applyFont="1" applyFill="1" applyAlignment="1">
      <alignment horizontal="left" vertical="center"/>
    </xf>
    <xf numFmtId="164" fontId="45" fillId="2" borderId="0" xfId="1" applyFont="1" applyFill="1" applyBorder="1" applyAlignment="1">
      <alignment horizontal="center" vertical="center"/>
    </xf>
    <xf numFmtId="3" fontId="42" fillId="2" borderId="0" xfId="4" applyNumberFormat="1" applyFont="1" applyFill="1" applyAlignment="1">
      <alignment horizontal="center" vertical="center"/>
    </xf>
    <xf numFmtId="3" fontId="53" fillId="2" borderId="0" xfId="4" applyNumberFormat="1" applyFont="1" applyFill="1" applyAlignment="1">
      <alignment horizontal="center" vertical="center"/>
    </xf>
    <xf numFmtId="164" fontId="54" fillId="2" borderId="0" xfId="1" applyFont="1" applyFill="1" applyBorder="1" applyAlignment="1">
      <alignment horizontal="center" vertical="center"/>
    </xf>
    <xf numFmtId="3" fontId="53" fillId="2" borderId="0" xfId="4" applyNumberFormat="1" applyFont="1" applyFill="1" applyAlignment="1">
      <alignment vertical="center"/>
    </xf>
    <xf numFmtId="3" fontId="54" fillId="2" borderId="0" xfId="4" applyNumberFormat="1" applyFont="1" applyFill="1" applyAlignment="1">
      <alignment horizontal="center" vertical="center"/>
    </xf>
    <xf numFmtId="3" fontId="47" fillId="2" borderId="0" xfId="4" applyNumberFormat="1" applyFont="1" applyFill="1" applyAlignment="1">
      <alignment horizontal="center" vertical="center"/>
    </xf>
    <xf numFmtId="0" fontId="47" fillId="2" borderId="0" xfId="6" applyFont="1" applyFill="1" applyAlignment="1">
      <alignment vertical="center"/>
    </xf>
    <xf numFmtId="3" fontId="54" fillId="2" borderId="0" xfId="4" applyNumberFormat="1" applyFont="1" applyFill="1" applyAlignment="1">
      <alignment vertical="center"/>
    </xf>
    <xf numFmtId="0" fontId="51" fillId="2" borderId="0" xfId="6" applyFont="1" applyFill="1" applyAlignment="1">
      <alignment horizontal="center" vertical="center"/>
    </xf>
    <xf numFmtId="3" fontId="47" fillId="2" borderId="0" xfId="5" applyNumberFormat="1" applyFont="1" applyFill="1" applyAlignment="1">
      <alignment horizontal="center" vertical="center"/>
    </xf>
    <xf numFmtId="0" fontId="51" fillId="2" borderId="0" xfId="6" applyFont="1" applyFill="1" applyAlignment="1">
      <alignment vertical="center"/>
    </xf>
    <xf numFmtId="3" fontId="54" fillId="2" borderId="0" xfId="5" applyNumberFormat="1" applyFont="1" applyFill="1" applyAlignment="1">
      <alignment vertical="center"/>
    </xf>
    <xf numFmtId="3" fontId="50" fillId="2" borderId="0" xfId="5" applyNumberFormat="1" applyFont="1" applyFill="1" applyAlignment="1">
      <alignment horizontal="center" vertical="center" wrapText="1"/>
    </xf>
    <xf numFmtId="0" fontId="49" fillId="2" borderId="0" xfId="6" applyFont="1" applyFill="1" applyAlignment="1">
      <alignment vertical="center"/>
    </xf>
    <xf numFmtId="0" fontId="49" fillId="2" borderId="0" xfId="6" applyFont="1" applyFill="1" applyAlignment="1">
      <alignment horizontal="center" vertical="center"/>
    </xf>
    <xf numFmtId="3" fontId="46" fillId="2" borderId="0" xfId="4" applyNumberFormat="1" applyFont="1" applyFill="1" applyAlignment="1">
      <alignment vertical="center"/>
    </xf>
    <xf numFmtId="49" fontId="50" fillId="2" borderId="0" xfId="6" applyNumberFormat="1" applyFont="1" applyFill="1" applyAlignment="1">
      <alignment horizontal="center" vertical="center"/>
    </xf>
    <xf numFmtId="0" fontId="46" fillId="2" borderId="0" xfId="4" applyFont="1" applyFill="1" applyAlignment="1">
      <alignment horizontal="center" vertical="center"/>
    </xf>
    <xf numFmtId="0" fontId="46" fillId="2" borderId="0" xfId="0" applyFont="1" applyFill="1" applyAlignment="1">
      <alignment horizontal="center" vertical="center"/>
    </xf>
    <xf numFmtId="49" fontId="51" fillId="2" borderId="0" xfId="6" applyNumberFormat="1" applyFont="1" applyFill="1" applyAlignment="1">
      <alignment horizontal="center" vertical="center"/>
    </xf>
    <xf numFmtId="0" fontId="53" fillId="2" borderId="0" xfId="6" applyFont="1" applyFill="1" applyAlignment="1">
      <alignment vertical="center"/>
    </xf>
    <xf numFmtId="0" fontId="55" fillId="2" borderId="0" xfId="6" applyFont="1" applyFill="1" applyAlignment="1">
      <alignment vertical="center"/>
    </xf>
    <xf numFmtId="0" fontId="38" fillId="2" borderId="17" xfId="6" applyFont="1" applyFill="1" applyBorder="1" applyAlignment="1">
      <alignment horizontal="center" vertical="center" wrapText="1"/>
    </xf>
    <xf numFmtId="0" fontId="38" fillId="2" borderId="16" xfId="6" applyFont="1" applyFill="1" applyBorder="1" applyAlignment="1">
      <alignment horizontal="center" vertical="center" wrapText="1"/>
    </xf>
    <xf numFmtId="0" fontId="38" fillId="2" borderId="16" xfId="5" applyFont="1" applyFill="1" applyBorder="1" applyAlignment="1">
      <alignment horizontal="center" vertical="center" wrapText="1"/>
    </xf>
    <xf numFmtId="3" fontId="16" fillId="2" borderId="16" xfId="4" applyNumberFormat="1" applyFont="1" applyFill="1" applyBorder="1" applyAlignment="1">
      <alignment horizontal="center" vertical="center" wrapText="1"/>
    </xf>
    <xf numFmtId="3" fontId="38" fillId="2" borderId="16" xfId="6" applyNumberFormat="1" applyFont="1" applyFill="1" applyBorder="1" applyAlignment="1">
      <alignment horizontal="center" vertical="center" wrapText="1"/>
    </xf>
    <xf numFmtId="3" fontId="16" fillId="2" borderId="16" xfId="6" applyNumberFormat="1" applyFont="1" applyFill="1" applyBorder="1" applyAlignment="1">
      <alignment horizontal="center" vertical="center" wrapText="1"/>
    </xf>
    <xf numFmtId="3" fontId="16" fillId="2" borderId="18" xfId="6" applyNumberFormat="1" applyFont="1" applyFill="1" applyBorder="1" applyAlignment="1">
      <alignment horizontal="center" vertical="center" wrapText="1"/>
    </xf>
    <xf numFmtId="3" fontId="38" fillId="2" borderId="16" xfId="4" applyNumberFormat="1" applyFont="1" applyFill="1" applyBorder="1" applyAlignment="1">
      <alignment horizontal="center" vertical="center" wrapText="1"/>
    </xf>
    <xf numFmtId="3" fontId="38" fillId="2" borderId="19" xfId="6" applyNumberFormat="1" applyFont="1" applyFill="1" applyBorder="1" applyAlignment="1">
      <alignment horizontal="center" vertical="center" wrapText="1"/>
    </xf>
    <xf numFmtId="3" fontId="17" fillId="2" borderId="1" xfId="4" applyNumberFormat="1" applyFont="1" applyFill="1" applyBorder="1" applyAlignment="1">
      <alignment vertical="center"/>
    </xf>
    <xf numFmtId="3" fontId="13" fillId="2" borderId="20" xfId="0" applyNumberFormat="1" applyFont="1" applyFill="1" applyBorder="1" applyAlignment="1">
      <alignment vertical="center"/>
    </xf>
    <xf numFmtId="0" fontId="13" fillId="2" borderId="5" xfId="0" applyFont="1" applyFill="1" applyBorder="1" applyAlignment="1">
      <alignment horizontal="center" vertical="center"/>
    </xf>
    <xf numFmtId="0" fontId="13" fillId="2" borderId="1" xfId="6" applyFont="1" applyFill="1" applyBorder="1" applyAlignment="1">
      <alignment horizontal="left" vertical="center" wrapText="1"/>
    </xf>
    <xf numFmtId="3" fontId="13" fillId="2" borderId="5" xfId="0" applyNumberFormat="1" applyFont="1" applyFill="1" applyBorder="1" applyAlignment="1">
      <alignment horizontal="right" vertical="center" wrapText="1"/>
    </xf>
    <xf numFmtId="0" fontId="36" fillId="2" borderId="1" xfId="0" applyFont="1" applyFill="1" applyBorder="1" applyAlignment="1">
      <alignment horizontal="left" vertical="center" wrapText="1"/>
    </xf>
    <xf numFmtId="3" fontId="13" fillId="2" borderId="5" xfId="6" applyNumberFormat="1" applyFont="1" applyFill="1" applyBorder="1" applyAlignment="1">
      <alignment horizontal="right" vertical="center" wrapText="1"/>
    </xf>
    <xf numFmtId="0" fontId="13" fillId="2" borderId="1" xfId="0" applyFont="1" applyFill="1" applyBorder="1" applyAlignment="1">
      <alignment horizontal="center" vertical="center"/>
    </xf>
    <xf numFmtId="0" fontId="37" fillId="2" borderId="1" xfId="0" applyFont="1" applyFill="1" applyBorder="1" applyAlignment="1">
      <alignment vertical="center" wrapText="1"/>
    </xf>
    <xf numFmtId="3" fontId="13" fillId="2" borderId="1" xfId="6"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13" fillId="2" borderId="5" xfId="6" applyNumberFormat="1" applyFont="1" applyFill="1" applyBorder="1" applyAlignment="1">
      <alignment vertical="center" wrapText="1"/>
    </xf>
    <xf numFmtId="0" fontId="13" fillId="2" borderId="1" xfId="0" applyFont="1" applyFill="1" applyBorder="1" applyAlignment="1">
      <alignment horizontal="left" vertical="center" wrapText="1"/>
    </xf>
    <xf numFmtId="3" fontId="26" fillId="2" borderId="5" xfId="5" applyNumberFormat="1" applyFont="1" applyFill="1" applyBorder="1" applyAlignment="1">
      <alignment horizontal="center" vertical="center" wrapText="1"/>
    </xf>
    <xf numFmtId="3" fontId="13" fillId="2" borderId="1" xfId="5" applyNumberFormat="1" applyFont="1" applyFill="1" applyBorder="1" applyAlignment="1">
      <alignment vertical="center" wrapText="1"/>
    </xf>
    <xf numFmtId="3" fontId="13" fillId="2" borderId="1" xfId="5" applyNumberFormat="1" applyFont="1" applyFill="1" applyBorder="1" applyAlignment="1">
      <alignment horizontal="right" vertical="center" wrapText="1"/>
    </xf>
    <xf numFmtId="3" fontId="13" fillId="2" borderId="1" xfId="0" applyNumberFormat="1" applyFont="1" applyFill="1" applyBorder="1" applyAlignment="1">
      <alignment vertical="center" wrapText="1"/>
    </xf>
    <xf numFmtId="0" fontId="41" fillId="2" borderId="0" xfId="0" applyFont="1" applyFill="1"/>
    <xf numFmtId="0" fontId="13" fillId="2" borderId="5" xfId="0" applyFont="1" applyFill="1" applyBorder="1" applyAlignment="1">
      <alignment horizontal="left" vertical="center" wrapText="1"/>
    </xf>
    <xf numFmtId="0" fontId="26" fillId="2" borderId="5" xfId="6" applyFont="1" applyFill="1" applyBorder="1" applyAlignment="1">
      <alignment horizontal="center" vertical="center" wrapText="1"/>
    </xf>
    <xf numFmtId="0" fontId="6" fillId="2" borderId="1" xfId="6" applyFont="1" applyFill="1" applyBorder="1" applyAlignment="1">
      <alignment horizontal="center" vertical="center" wrapText="1"/>
    </xf>
    <xf numFmtId="0" fontId="37" fillId="2" borderId="5" xfId="0" applyFont="1" applyFill="1" applyBorder="1" applyAlignment="1">
      <alignment horizontal="left" vertical="center" wrapText="1"/>
    </xf>
    <xf numFmtId="3" fontId="13" fillId="2" borderId="1" xfId="6" applyNumberFormat="1" applyFont="1" applyFill="1" applyBorder="1" applyAlignment="1">
      <alignment horizontal="left" vertical="center" wrapText="1"/>
    </xf>
    <xf numFmtId="3" fontId="13" fillId="2" borderId="1" xfId="6" applyNumberFormat="1" applyFont="1" applyFill="1" applyBorder="1" applyAlignment="1">
      <alignment horizontal="right" vertical="center"/>
    </xf>
    <xf numFmtId="3" fontId="13" fillId="2" borderId="14" xfId="6" applyNumberFormat="1" applyFont="1" applyFill="1" applyBorder="1" applyAlignment="1">
      <alignment horizontal="left" vertical="center" wrapText="1"/>
    </xf>
    <xf numFmtId="0" fontId="18" fillId="2" borderId="1" xfId="5" applyFont="1" applyFill="1" applyBorder="1" applyAlignment="1">
      <alignment horizontal="center" vertical="center" wrapText="1"/>
    </xf>
    <xf numFmtId="0" fontId="1" fillId="2" borderId="1" xfId="0" applyFont="1" applyFill="1" applyBorder="1" applyAlignment="1">
      <alignment horizontal="left" vertical="center" wrapText="1"/>
    </xf>
    <xf numFmtId="0" fontId="9" fillId="2" borderId="1" xfId="6" applyFont="1" applyFill="1" applyBorder="1" applyAlignment="1">
      <alignment horizontal="center" vertical="center"/>
    </xf>
    <xf numFmtId="165" fontId="51" fillId="2" borderId="0" xfId="6" applyNumberFormat="1" applyFont="1" applyFill="1" applyAlignment="1">
      <alignment vertical="center"/>
    </xf>
    <xf numFmtId="0" fontId="51" fillId="2" borderId="0" xfId="6" applyFont="1" applyFill="1"/>
    <xf numFmtId="3" fontId="47" fillId="2" borderId="0" xfId="4" applyNumberFormat="1" applyFont="1" applyFill="1" applyAlignment="1">
      <alignment horizontal="center"/>
    </xf>
    <xf numFmtId="3" fontId="56" fillId="2" borderId="0" xfId="0" applyNumberFormat="1" applyFont="1" applyFill="1" applyAlignment="1">
      <alignment horizontal="right" vertical="center"/>
    </xf>
    <xf numFmtId="3" fontId="54" fillId="2" borderId="0" xfId="6" applyNumberFormat="1" applyFont="1" applyFill="1" applyAlignment="1">
      <alignment vertical="center"/>
    </xf>
    <xf numFmtId="0" fontId="9" fillId="2" borderId="0" xfId="0" applyFont="1" applyFill="1" applyAlignment="1">
      <alignment vertical="center"/>
    </xf>
    <xf numFmtId="3" fontId="19" fillId="2" borderId="0" xfId="5" applyNumberFormat="1" applyFont="1" applyFill="1" applyAlignment="1">
      <alignment horizontal="center" vertical="center"/>
    </xf>
    <xf numFmtId="1" fontId="13" fillId="2" borderId="1" xfId="6" applyNumberFormat="1" applyFont="1" applyFill="1" applyBorder="1" applyAlignment="1">
      <alignment horizontal="left" vertical="center" wrapText="1"/>
    </xf>
    <xf numFmtId="0" fontId="1" fillId="2" borderId="1" xfId="0" applyFont="1" applyFill="1" applyBorder="1" applyAlignment="1">
      <alignment horizontal="left" vertical="top" wrapText="1"/>
    </xf>
    <xf numFmtId="0" fontId="57" fillId="2" borderId="0" xfId="6" applyFont="1" applyFill="1" applyAlignment="1">
      <alignment vertical="center"/>
    </xf>
    <xf numFmtId="3" fontId="58" fillId="2" borderId="0" xfId="4" applyNumberFormat="1" applyFont="1" applyFill="1" applyAlignment="1">
      <alignment horizontal="center" vertical="center"/>
    </xf>
    <xf numFmtId="3" fontId="59" fillId="2" borderId="0" xfId="5" applyNumberFormat="1" applyFont="1" applyFill="1" applyAlignment="1">
      <alignment vertical="center"/>
    </xf>
    <xf numFmtId="164" fontId="60" fillId="2" borderId="0" xfId="1" applyFont="1" applyFill="1" applyBorder="1" applyAlignment="1">
      <alignment horizontal="center" vertical="center"/>
    </xf>
    <xf numFmtId="3" fontId="58" fillId="2" borderId="0" xfId="4" applyNumberFormat="1" applyFont="1" applyFill="1" applyAlignment="1">
      <alignment vertical="center"/>
    </xf>
    <xf numFmtId="3" fontId="59" fillId="2" borderId="0" xfId="5" applyNumberFormat="1" applyFont="1" applyFill="1" applyAlignment="1">
      <alignment horizontal="center" vertical="center"/>
    </xf>
    <xf numFmtId="3" fontId="47" fillId="2" borderId="0" xfId="5" applyNumberFormat="1" applyFont="1" applyFill="1" applyAlignment="1">
      <alignment horizontal="left" vertical="center" wrapText="1"/>
    </xf>
    <xf numFmtId="3" fontId="8" fillId="2" borderId="0" xfId="0" quotePrefix="1" applyNumberFormat="1" applyFont="1" applyFill="1" applyAlignment="1">
      <alignment vertical="center"/>
    </xf>
    <xf numFmtId="3" fontId="19" fillId="2" borderId="0" xfId="4" applyNumberFormat="1" applyFont="1" applyFill="1" applyAlignment="1">
      <alignment horizontal="center" vertical="center"/>
    </xf>
    <xf numFmtId="0" fontId="9" fillId="2" borderId="0" xfId="0" applyFont="1" applyFill="1" applyAlignment="1">
      <alignment vertical="center"/>
    </xf>
    <xf numFmtId="0" fontId="19" fillId="2" borderId="0" xfId="5" applyFont="1" applyFill="1" applyAlignment="1">
      <alignment horizontal="center" vertical="center"/>
    </xf>
    <xf numFmtId="0" fontId="8" fillId="2" borderId="0" xfId="6" applyFont="1" applyFill="1" applyAlignment="1">
      <alignment horizontal="left" vertical="center"/>
    </xf>
    <xf numFmtId="3" fontId="19" fillId="2" borderId="0" xfId="5" applyNumberFormat="1" applyFont="1" applyFill="1" applyAlignment="1">
      <alignment horizontal="center" vertical="center"/>
    </xf>
    <xf numFmtId="0" fontId="1" fillId="2" borderId="0" xfId="0" applyFont="1" applyFill="1" applyAlignment="1">
      <alignment vertical="center"/>
    </xf>
  </cellXfs>
  <cellStyles count="7">
    <cellStyle name="Monedă" xfId="1" builtinId="4"/>
    <cellStyle name="Normal" xfId="0" builtinId="0"/>
    <cellStyle name="Normal_5. Martie rectificare Lista 2002 HCLM .2002 " xfId="2" xr:uid="{00000000-0005-0000-0000-000002000000}"/>
    <cellStyle name="Normal_Dotari Cap. 60" xfId="3" xr:uid="{00000000-0005-0000-0000-000003000000}"/>
    <cellStyle name="Normal_Lista 2001 rectif Mai" xfId="4" xr:uid="{00000000-0005-0000-0000-000004000000}"/>
    <cellStyle name="Normal_LISTA DOTARI" xfId="5" xr:uid="{00000000-0005-0000-0000-000005000000}"/>
    <cellStyle name="Normal_Sheet1"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657225</xdr:colOff>
      <xdr:row>4</xdr:row>
      <xdr:rowOff>123825</xdr:rowOff>
    </xdr:to>
    <xdr:pic>
      <xdr:nvPicPr>
        <xdr:cNvPr id="78044" name="Picture 1" descr="logo2">
          <a:extLst>
            <a:ext uri="{FF2B5EF4-FFF2-40B4-BE49-F238E27FC236}">
              <a16:creationId xmlns:a16="http://schemas.microsoft.com/office/drawing/2014/main" id="{70A32E00-7553-B1F7-E7C7-164B52516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04775"/>
          <a:ext cx="7429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700405</xdr:colOff>
      <xdr:row>0</xdr:row>
      <xdr:rowOff>37084</xdr:rowOff>
    </xdr:from>
    <xdr:to>
      <xdr:col>2</xdr:col>
      <xdr:colOff>484281</xdr:colOff>
      <xdr:row>0</xdr:row>
      <xdr:rowOff>37425</xdr:rowOff>
    </xdr:to>
    <xdr:sp macro="" textlink="">
      <xdr:nvSpPr>
        <xdr:cNvPr id="53279" name="Text Box 31">
          <a:extLst>
            <a:ext uri="{FF2B5EF4-FFF2-40B4-BE49-F238E27FC236}">
              <a16:creationId xmlns:a16="http://schemas.microsoft.com/office/drawing/2014/main" id="{9E14261D-3996-D2EE-3CE4-9E8A12BFB3A4}"/>
            </a:ext>
          </a:extLst>
        </xdr:cNvPr>
        <xdr:cNvSpPr txBox="1">
          <a:spLocks noChangeArrowheads="1"/>
        </xdr:cNvSpPr>
      </xdr:nvSpPr>
      <xdr:spPr bwMode="auto">
        <a:xfrm>
          <a:off x="923925" y="57150"/>
          <a:ext cx="2562225" cy="914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000000"/>
              </a:solidFill>
              <a:latin typeface="Arial CE"/>
            </a:rPr>
            <a:t> </a:t>
          </a:r>
          <a:r>
            <a:rPr lang="ro-RO" sz="1400" b="1" i="0" u="none" strike="noStrike" baseline="0">
              <a:solidFill>
                <a:srgbClr val="000000"/>
              </a:solidFill>
              <a:latin typeface="Times New Roman CE"/>
            </a:rPr>
            <a:t>ROMÂNIA</a:t>
          </a:r>
          <a:endParaRPr lang="ro-RO" sz="1000" b="0" i="0" u="none" strike="noStrike" baseline="0">
            <a:solidFill>
              <a:srgbClr val="000000"/>
            </a:solidFill>
            <a:latin typeface="Times New Roman CE"/>
          </a:endParaRPr>
        </a:p>
        <a:p>
          <a:pPr algn="l" rtl="0">
            <a:defRPr sz="1000"/>
          </a:pPr>
          <a:r>
            <a:rPr lang="ro-RO" sz="1000" b="0" i="0" u="none" strike="noStrike" baseline="0">
              <a:solidFill>
                <a:srgbClr val="000000"/>
              </a:solidFill>
              <a:latin typeface="Times New Roman CE"/>
            </a:rPr>
            <a:t> JUDEŢUL CONSTANŢA</a:t>
          </a:r>
        </a:p>
        <a:p>
          <a:pPr algn="l" rtl="0">
            <a:defRPr sz="1000"/>
          </a:pPr>
          <a:r>
            <a:rPr lang="ro-RO" sz="1000" b="0" i="0" u="none" strike="noStrike" baseline="0">
              <a:solidFill>
                <a:srgbClr val="000000"/>
              </a:solidFill>
              <a:latin typeface="Times New Roman CE"/>
            </a:rPr>
            <a:t> CONSILIUL LOCAL </a:t>
          </a:r>
        </a:p>
        <a:p>
          <a:pPr algn="l" rtl="0">
            <a:defRPr sz="1000"/>
          </a:pPr>
          <a:r>
            <a:rPr lang="ro-RO" sz="1000" b="0" i="0" u="none" strike="noStrike" baseline="0">
              <a:solidFill>
                <a:srgbClr val="000000"/>
              </a:solidFill>
              <a:latin typeface="Times New Roman CE"/>
            </a:rPr>
            <a:t> MUNICIPIUL CONSTANŢA</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540385</xdr:colOff>
      <xdr:row>0</xdr:row>
      <xdr:rowOff>38100</xdr:rowOff>
    </xdr:from>
    <xdr:to>
      <xdr:col>1</xdr:col>
      <xdr:colOff>2598785</xdr:colOff>
      <xdr:row>4</xdr:row>
      <xdr:rowOff>76200</xdr:rowOff>
    </xdr:to>
    <xdr:sp macro="" textlink="">
      <xdr:nvSpPr>
        <xdr:cNvPr id="55461" name="Text Box 5">
          <a:extLst>
            <a:ext uri="{FF2B5EF4-FFF2-40B4-BE49-F238E27FC236}">
              <a16:creationId xmlns:a16="http://schemas.microsoft.com/office/drawing/2014/main" id="{122750B8-7EEF-027C-08C5-0F51941388D6}"/>
            </a:ext>
          </a:extLst>
        </xdr:cNvPr>
        <xdr:cNvSpPr txBox="1">
          <a:spLocks noChangeArrowheads="1"/>
        </xdr:cNvSpPr>
      </xdr:nvSpPr>
      <xdr:spPr bwMode="auto">
        <a:xfrm>
          <a:off x="828675" y="38100"/>
          <a:ext cx="2057400" cy="7239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CE"/>
              <a:cs typeface="Arial CE"/>
            </a:rPr>
            <a:t> ROMANIA</a:t>
          </a:r>
        </a:p>
        <a:p>
          <a:pPr algn="l" rtl="0">
            <a:defRPr sz="1000"/>
          </a:pPr>
          <a:r>
            <a:rPr lang="en-US" sz="1000" b="0" i="0" u="none" strike="noStrike" baseline="0">
              <a:solidFill>
                <a:srgbClr val="000000"/>
              </a:solidFill>
              <a:latin typeface="Arial CE"/>
              <a:cs typeface="Arial CE"/>
            </a:rPr>
            <a:t> JUDEŢUL CONSTANŢA</a:t>
          </a:r>
        </a:p>
        <a:p>
          <a:pPr algn="l" rtl="0">
            <a:defRPr sz="1000"/>
          </a:pPr>
          <a:r>
            <a:rPr lang="en-US" sz="1000" b="0" i="0" u="none" strike="noStrike" baseline="0">
              <a:solidFill>
                <a:srgbClr val="000000"/>
              </a:solidFill>
              <a:latin typeface="Arial CE"/>
              <a:cs typeface="Arial CE"/>
            </a:rPr>
            <a:t> CONSILIUL LOCAL </a:t>
          </a:r>
        </a:p>
        <a:p>
          <a:pPr algn="l" rtl="0">
            <a:defRPr sz="1000"/>
          </a:pPr>
          <a:r>
            <a:rPr lang="en-US" sz="1000" b="0" i="0" u="none" strike="noStrike" baseline="0">
              <a:solidFill>
                <a:srgbClr val="000000"/>
              </a:solidFill>
              <a:latin typeface="Arial CE"/>
              <a:cs typeface="Arial CE"/>
            </a:rPr>
            <a:t> MUNICIPIUL CONSTANŢA</a:t>
          </a:r>
          <a:endParaRPr lang="en-US" sz="1000" b="0" i="0" u="none" strike="noStrike" baseline="0">
            <a:solidFill>
              <a:srgbClr val="000000"/>
            </a:solidFill>
            <a:latin typeface="Times New Roman CE"/>
            <a:cs typeface="Times New Roman CE"/>
          </a:endParaRPr>
        </a:p>
        <a:p>
          <a:pPr algn="l" rtl="0">
            <a:defRPr sz="1000"/>
          </a:pPr>
          <a:r>
            <a:rPr lang="en-US" sz="1000" b="0" i="0" u="none" strike="noStrike" baseline="0">
              <a:solidFill>
                <a:srgbClr val="000000"/>
              </a:solidFill>
              <a:latin typeface="Times New Roman CE"/>
              <a:cs typeface="Times New Roman CE"/>
            </a:rPr>
            <a:t>                        </a:t>
          </a:r>
        </a:p>
      </xdr:txBody>
    </xdr:sp>
    <xdr:clientData/>
  </xdr:twoCellAnchor>
  <xdr:twoCellAnchor>
    <xdr:from>
      <xdr:col>0</xdr:col>
      <xdr:colOff>57150</xdr:colOff>
      <xdr:row>0</xdr:row>
      <xdr:rowOff>38100</xdr:rowOff>
    </xdr:from>
    <xdr:to>
      <xdr:col>1</xdr:col>
      <xdr:colOff>533400</xdr:colOff>
      <xdr:row>5</xdr:row>
      <xdr:rowOff>19050</xdr:rowOff>
    </xdr:to>
    <xdr:pic>
      <xdr:nvPicPr>
        <xdr:cNvPr id="79057" name="Picture 8" descr="logo2">
          <a:extLst>
            <a:ext uri="{FF2B5EF4-FFF2-40B4-BE49-F238E27FC236}">
              <a16:creationId xmlns:a16="http://schemas.microsoft.com/office/drawing/2014/main" id="{24AFB1E9-EA47-26F0-1C85-DC79C08ED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8100"/>
          <a:ext cx="7524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733425</xdr:colOff>
      <xdr:row>5</xdr:row>
      <xdr:rowOff>104775</xdr:rowOff>
    </xdr:to>
    <xdr:pic>
      <xdr:nvPicPr>
        <xdr:cNvPr id="77108" name="Picture 1" descr="logo2">
          <a:extLst>
            <a:ext uri="{FF2B5EF4-FFF2-40B4-BE49-F238E27FC236}">
              <a16:creationId xmlns:a16="http://schemas.microsoft.com/office/drawing/2014/main" id="{8C36D04B-900F-E3F4-D16A-D96B92CC4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9239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779145</xdr:colOff>
      <xdr:row>1</xdr:row>
      <xdr:rowOff>0</xdr:rowOff>
    </xdr:from>
    <xdr:to>
      <xdr:col>2</xdr:col>
      <xdr:colOff>180439</xdr:colOff>
      <xdr:row>4</xdr:row>
      <xdr:rowOff>182135</xdr:rowOff>
    </xdr:to>
    <xdr:sp macro="" textlink="">
      <xdr:nvSpPr>
        <xdr:cNvPr id="54274" name="Text Box 2">
          <a:extLst>
            <a:ext uri="{FF2B5EF4-FFF2-40B4-BE49-F238E27FC236}">
              <a16:creationId xmlns:a16="http://schemas.microsoft.com/office/drawing/2014/main" id="{A0F936C1-294C-65E7-90BD-50B7225BE19B}"/>
            </a:ext>
          </a:extLst>
        </xdr:cNvPr>
        <xdr:cNvSpPr txBox="1">
          <a:spLocks noChangeArrowheads="1"/>
        </xdr:cNvSpPr>
      </xdr:nvSpPr>
      <xdr:spPr bwMode="auto">
        <a:xfrm>
          <a:off x="1038225" y="123825"/>
          <a:ext cx="1733550" cy="771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imes New Roman CE"/>
              <a:cs typeface="Times New Roman CE"/>
            </a:rPr>
            <a:t> ROMANIA</a:t>
          </a:r>
        </a:p>
        <a:p>
          <a:pPr algn="l" rtl="0">
            <a:defRPr sz="1000"/>
          </a:pPr>
          <a:r>
            <a:rPr lang="en-US" sz="1000" b="1" i="0" u="none" strike="noStrike" baseline="0">
              <a:solidFill>
                <a:srgbClr val="000000"/>
              </a:solidFill>
              <a:latin typeface="Times New Roman CE"/>
              <a:cs typeface="Times New Roman CE"/>
            </a:rPr>
            <a:t> JUDEŢUL CONSTANŢA</a:t>
          </a:r>
        </a:p>
        <a:p>
          <a:pPr algn="l" rtl="0">
            <a:defRPr sz="1000"/>
          </a:pPr>
          <a:r>
            <a:rPr lang="en-US" sz="1000" b="1" i="0" u="none" strike="noStrike" baseline="0">
              <a:solidFill>
                <a:srgbClr val="000000"/>
              </a:solidFill>
              <a:latin typeface="Times New Roman CE"/>
              <a:cs typeface="Times New Roman CE"/>
            </a:rPr>
            <a:t> CONSILIUL LOCAL </a:t>
          </a:r>
        </a:p>
        <a:p>
          <a:pPr algn="l" rtl="0">
            <a:defRPr sz="1000"/>
          </a:pPr>
          <a:r>
            <a:rPr lang="en-US" sz="1000" b="1" i="0" u="none" strike="noStrike" baseline="0">
              <a:solidFill>
                <a:srgbClr val="000000"/>
              </a:solidFill>
              <a:latin typeface="Times New Roman CE"/>
              <a:cs typeface="Times New Roman CE"/>
            </a:rPr>
            <a:t> MUNICIPIUL CONSTANŢA</a:t>
          </a:r>
          <a:r>
            <a:rPr lang="en-US" sz="1000" b="0" i="0" u="none" strike="noStrike" baseline="0">
              <a:solidFill>
                <a:srgbClr val="000000"/>
              </a:solidFill>
              <a:latin typeface="Arial CE"/>
              <a:cs typeface="Arial CE"/>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114300</xdr:rowOff>
    </xdr:from>
    <xdr:to>
      <xdr:col>1</xdr:col>
      <xdr:colOff>714375</xdr:colOff>
      <xdr:row>3</xdr:row>
      <xdr:rowOff>114300</xdr:rowOff>
    </xdr:to>
    <xdr:pic>
      <xdr:nvPicPr>
        <xdr:cNvPr id="80080" name="Picture 1" descr="logo2">
          <a:extLst>
            <a:ext uri="{FF2B5EF4-FFF2-40B4-BE49-F238E27FC236}">
              <a16:creationId xmlns:a16="http://schemas.microsoft.com/office/drawing/2014/main" id="{53C5579D-F38C-6992-AFF9-2C94538D3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14300"/>
          <a:ext cx="9048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779145</xdr:colOff>
      <xdr:row>1</xdr:row>
      <xdr:rowOff>22225</xdr:rowOff>
    </xdr:from>
    <xdr:to>
      <xdr:col>2</xdr:col>
      <xdr:colOff>187455</xdr:colOff>
      <xdr:row>5</xdr:row>
      <xdr:rowOff>17962</xdr:rowOff>
    </xdr:to>
    <xdr:sp macro="" textlink="">
      <xdr:nvSpPr>
        <xdr:cNvPr id="18435" name="Text Box 3">
          <a:extLst>
            <a:ext uri="{FF2B5EF4-FFF2-40B4-BE49-F238E27FC236}">
              <a16:creationId xmlns:a16="http://schemas.microsoft.com/office/drawing/2014/main" id="{6C5DE3EC-3214-DA6F-C99C-B9BB83612986}"/>
            </a:ext>
          </a:extLst>
        </xdr:cNvPr>
        <xdr:cNvSpPr txBox="1">
          <a:spLocks noChangeArrowheads="1"/>
        </xdr:cNvSpPr>
      </xdr:nvSpPr>
      <xdr:spPr bwMode="auto">
        <a:xfrm>
          <a:off x="1019175" y="152400"/>
          <a:ext cx="1962150" cy="7334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imes New Roman CE"/>
              <a:cs typeface="Times New Roman CE"/>
            </a:rPr>
            <a:t> ROMANIA</a:t>
          </a:r>
        </a:p>
        <a:p>
          <a:pPr algn="l" rtl="0">
            <a:defRPr sz="1000"/>
          </a:pPr>
          <a:r>
            <a:rPr lang="en-US" sz="1000" b="1" i="0" u="none" strike="noStrike" baseline="0">
              <a:solidFill>
                <a:srgbClr val="000000"/>
              </a:solidFill>
              <a:latin typeface="Times New Roman CE"/>
              <a:cs typeface="Times New Roman CE"/>
            </a:rPr>
            <a:t> JUDEŢUL CONSTANŢA</a:t>
          </a:r>
        </a:p>
        <a:p>
          <a:pPr algn="l" rtl="0">
            <a:defRPr sz="1000"/>
          </a:pPr>
          <a:r>
            <a:rPr lang="en-US" sz="1000" b="1" i="0" u="none" strike="noStrike" baseline="0">
              <a:solidFill>
                <a:srgbClr val="000000"/>
              </a:solidFill>
              <a:latin typeface="Times New Roman CE"/>
              <a:cs typeface="Times New Roman CE"/>
            </a:rPr>
            <a:t> CONSILIUL LOCAL </a:t>
          </a:r>
        </a:p>
        <a:p>
          <a:pPr algn="l" rtl="0">
            <a:defRPr sz="1000"/>
          </a:pPr>
          <a:r>
            <a:rPr lang="en-US" sz="1000" b="1" i="0" u="none" strike="noStrike" baseline="0">
              <a:solidFill>
                <a:srgbClr val="000000"/>
              </a:solidFill>
              <a:latin typeface="Times New Roman CE"/>
              <a:cs typeface="Times New Roman CE"/>
            </a:rPr>
            <a:t> MUNICIPIUL CONSTANŢA</a:t>
          </a:r>
          <a:endParaRPr lang="en-US" sz="1000" b="0" i="0" u="none" strike="noStrike" baseline="0">
            <a:solidFill>
              <a:srgbClr val="000000"/>
            </a:solidFill>
            <a:latin typeface="Arial CE"/>
            <a:cs typeface="Arial CE"/>
          </a:endParaRPr>
        </a:p>
        <a:p>
          <a:pPr algn="l" rtl="0">
            <a:defRPr sz="1000"/>
          </a:pPr>
          <a:r>
            <a:rPr lang="en-US" sz="1000" b="0" i="0" u="none" strike="noStrike" baseline="0">
              <a:solidFill>
                <a:srgbClr val="000000"/>
              </a:solidFill>
              <a:latin typeface="Arial CE"/>
              <a:cs typeface="Arial CE"/>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657225</xdr:colOff>
      <xdr:row>4</xdr:row>
      <xdr:rowOff>123825</xdr:rowOff>
    </xdr:to>
    <xdr:pic>
      <xdr:nvPicPr>
        <xdr:cNvPr id="73279" name="Picture 1" descr="logo2">
          <a:extLst>
            <a:ext uri="{FF2B5EF4-FFF2-40B4-BE49-F238E27FC236}">
              <a16:creationId xmlns:a16="http://schemas.microsoft.com/office/drawing/2014/main" id="{01138C2B-961A-2611-1F33-733AE740D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04775"/>
          <a:ext cx="742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700405</xdr:colOff>
      <xdr:row>0</xdr:row>
      <xdr:rowOff>37084</xdr:rowOff>
    </xdr:from>
    <xdr:to>
      <xdr:col>2</xdr:col>
      <xdr:colOff>484281</xdr:colOff>
      <xdr:row>0</xdr:row>
      <xdr:rowOff>37425</xdr:rowOff>
    </xdr:to>
    <xdr:sp macro="" textlink="">
      <xdr:nvSpPr>
        <xdr:cNvPr id="3" name="Text Box 31">
          <a:extLst>
            <a:ext uri="{FF2B5EF4-FFF2-40B4-BE49-F238E27FC236}">
              <a16:creationId xmlns:a16="http://schemas.microsoft.com/office/drawing/2014/main" id="{B3EA2548-FCF8-1879-FD4F-8B007805B3A5}"/>
            </a:ext>
          </a:extLst>
        </xdr:cNvPr>
        <xdr:cNvSpPr txBox="1">
          <a:spLocks noChangeArrowheads="1"/>
        </xdr:cNvSpPr>
      </xdr:nvSpPr>
      <xdr:spPr bwMode="auto">
        <a:xfrm>
          <a:off x="925830" y="43434"/>
          <a:ext cx="2558790" cy="34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ro-RO" sz="1000" b="0" i="0" u="none" strike="noStrike" baseline="0">
              <a:solidFill>
                <a:srgbClr val="000000"/>
              </a:solidFill>
              <a:latin typeface="Arial CE"/>
            </a:rPr>
            <a:t> </a:t>
          </a:r>
          <a:r>
            <a:rPr lang="ro-RO" sz="1400" b="1" i="0" u="none" strike="noStrike" baseline="0">
              <a:solidFill>
                <a:srgbClr val="000000"/>
              </a:solidFill>
              <a:latin typeface="Times New Roman CE"/>
            </a:rPr>
            <a:t>ROMÂNIA</a:t>
          </a:r>
          <a:endParaRPr lang="ro-RO" sz="1000" b="0" i="0" u="none" strike="noStrike" baseline="0">
            <a:solidFill>
              <a:srgbClr val="000000"/>
            </a:solidFill>
            <a:latin typeface="Times New Roman CE"/>
          </a:endParaRPr>
        </a:p>
        <a:p>
          <a:pPr algn="l" rtl="0">
            <a:defRPr sz="1000"/>
          </a:pPr>
          <a:r>
            <a:rPr lang="ro-RO" sz="1000" b="0" i="0" u="none" strike="noStrike" baseline="0">
              <a:solidFill>
                <a:srgbClr val="000000"/>
              </a:solidFill>
              <a:latin typeface="Times New Roman CE"/>
            </a:rPr>
            <a:t> JUDEŢUL CONSTANŢA</a:t>
          </a:r>
        </a:p>
        <a:p>
          <a:pPr algn="l" rtl="0">
            <a:defRPr sz="1000"/>
          </a:pPr>
          <a:r>
            <a:rPr lang="ro-RO" sz="1000" b="0" i="0" u="none" strike="noStrike" baseline="0">
              <a:solidFill>
                <a:srgbClr val="000000"/>
              </a:solidFill>
              <a:latin typeface="Times New Roman CE"/>
            </a:rPr>
            <a:t> CONSILIUL LOCAL </a:t>
          </a:r>
        </a:p>
        <a:p>
          <a:pPr algn="l" rtl="0">
            <a:defRPr sz="1000"/>
          </a:pPr>
          <a:r>
            <a:rPr lang="ro-RO" sz="1000" b="0" i="0" u="none" strike="noStrike" baseline="0">
              <a:solidFill>
                <a:srgbClr val="000000"/>
              </a:solidFill>
              <a:latin typeface="Times New Roman CE"/>
            </a:rPr>
            <a:t> MUNICIPIUL CONSTANŢA</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540385</xdr:colOff>
      <xdr:row>0</xdr:row>
      <xdr:rowOff>38100</xdr:rowOff>
    </xdr:from>
    <xdr:to>
      <xdr:col>2</xdr:col>
      <xdr:colOff>11383</xdr:colOff>
      <xdr:row>3</xdr:row>
      <xdr:rowOff>189634</xdr:rowOff>
    </xdr:to>
    <xdr:sp macro="" textlink="">
      <xdr:nvSpPr>
        <xdr:cNvPr id="2" name="Text Box 5">
          <a:extLst>
            <a:ext uri="{FF2B5EF4-FFF2-40B4-BE49-F238E27FC236}">
              <a16:creationId xmlns:a16="http://schemas.microsoft.com/office/drawing/2014/main" id="{077C944C-427D-9779-C3EE-69AD9129F44C}"/>
            </a:ext>
          </a:extLst>
        </xdr:cNvPr>
        <xdr:cNvSpPr txBox="1">
          <a:spLocks noChangeArrowheads="1"/>
        </xdr:cNvSpPr>
      </xdr:nvSpPr>
      <xdr:spPr bwMode="auto">
        <a:xfrm>
          <a:off x="813435" y="38100"/>
          <a:ext cx="2074380" cy="7239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CE"/>
              <a:cs typeface="Arial CE"/>
            </a:rPr>
            <a:t> ROMANIA</a:t>
          </a:r>
        </a:p>
        <a:p>
          <a:pPr algn="l" rtl="0">
            <a:defRPr sz="1000"/>
          </a:pPr>
          <a:r>
            <a:rPr lang="en-US" sz="1000" b="0" i="0" u="none" strike="noStrike" baseline="0">
              <a:solidFill>
                <a:srgbClr val="000000"/>
              </a:solidFill>
              <a:latin typeface="Arial CE"/>
              <a:cs typeface="Arial CE"/>
            </a:rPr>
            <a:t> JUDEŢUL CONSTANŢA</a:t>
          </a:r>
        </a:p>
        <a:p>
          <a:pPr algn="l" rtl="0">
            <a:defRPr sz="1000"/>
          </a:pPr>
          <a:r>
            <a:rPr lang="en-US" sz="1000" b="0" i="0" u="none" strike="noStrike" baseline="0">
              <a:solidFill>
                <a:srgbClr val="000000"/>
              </a:solidFill>
              <a:latin typeface="Arial CE"/>
              <a:cs typeface="Arial CE"/>
            </a:rPr>
            <a:t> CONSILIUL LOCAL </a:t>
          </a:r>
        </a:p>
        <a:p>
          <a:pPr algn="l" rtl="0">
            <a:defRPr sz="1000"/>
          </a:pPr>
          <a:r>
            <a:rPr lang="en-US" sz="1000" b="0" i="0" u="none" strike="noStrike" baseline="0">
              <a:solidFill>
                <a:srgbClr val="000000"/>
              </a:solidFill>
              <a:latin typeface="Arial CE"/>
              <a:cs typeface="Arial CE"/>
            </a:rPr>
            <a:t> MUNICIPIUL CONSTANŢA</a:t>
          </a:r>
          <a:endParaRPr lang="en-US" sz="1000" b="0" i="0" u="none" strike="noStrike" baseline="0">
            <a:solidFill>
              <a:srgbClr val="000000"/>
            </a:solidFill>
            <a:latin typeface="Times New Roman CE"/>
            <a:cs typeface="Times New Roman CE"/>
          </a:endParaRPr>
        </a:p>
        <a:p>
          <a:pPr algn="l" rtl="0">
            <a:defRPr sz="1000"/>
          </a:pPr>
          <a:r>
            <a:rPr lang="en-US" sz="1000" b="0" i="0" u="none" strike="noStrike" baseline="0">
              <a:solidFill>
                <a:srgbClr val="000000"/>
              </a:solidFill>
              <a:latin typeface="Times New Roman CE"/>
              <a:cs typeface="Times New Roman CE"/>
            </a:rPr>
            <a:t>                        </a:t>
          </a:r>
        </a:p>
      </xdr:txBody>
    </xdr:sp>
    <xdr:clientData/>
  </xdr:twoCellAnchor>
  <xdr:twoCellAnchor>
    <xdr:from>
      <xdr:col>0</xdr:col>
      <xdr:colOff>57150</xdr:colOff>
      <xdr:row>0</xdr:row>
      <xdr:rowOff>38100</xdr:rowOff>
    </xdr:from>
    <xdr:to>
      <xdr:col>1</xdr:col>
      <xdr:colOff>533400</xdr:colOff>
      <xdr:row>5</xdr:row>
      <xdr:rowOff>19050</xdr:rowOff>
    </xdr:to>
    <xdr:pic>
      <xdr:nvPicPr>
        <xdr:cNvPr id="74304" name="Picture 8" descr="logo2">
          <a:extLst>
            <a:ext uri="{FF2B5EF4-FFF2-40B4-BE49-F238E27FC236}">
              <a16:creationId xmlns:a16="http://schemas.microsoft.com/office/drawing/2014/main" id="{CF81FFF4-E507-8DC0-1C06-431DAD1A51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8100"/>
          <a:ext cx="7524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733425</xdr:colOff>
      <xdr:row>5</xdr:row>
      <xdr:rowOff>104775</xdr:rowOff>
    </xdr:to>
    <xdr:pic>
      <xdr:nvPicPr>
        <xdr:cNvPr id="75327" name="Picture 1" descr="logo2">
          <a:extLst>
            <a:ext uri="{FF2B5EF4-FFF2-40B4-BE49-F238E27FC236}">
              <a16:creationId xmlns:a16="http://schemas.microsoft.com/office/drawing/2014/main" id="{46AEC395-3031-8601-7A4D-FB630DE2D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9239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779145</xdr:colOff>
      <xdr:row>0</xdr:row>
      <xdr:rowOff>120015</xdr:rowOff>
    </xdr:from>
    <xdr:to>
      <xdr:col>2</xdr:col>
      <xdr:colOff>180439</xdr:colOff>
      <xdr:row>4</xdr:row>
      <xdr:rowOff>137796</xdr:rowOff>
    </xdr:to>
    <xdr:sp macro="" textlink="">
      <xdr:nvSpPr>
        <xdr:cNvPr id="3" name="Text Box 2">
          <a:extLst>
            <a:ext uri="{FF2B5EF4-FFF2-40B4-BE49-F238E27FC236}">
              <a16:creationId xmlns:a16="http://schemas.microsoft.com/office/drawing/2014/main" id="{801932D3-4FCC-EA72-7330-2922D3CA2DFF}"/>
            </a:ext>
          </a:extLst>
        </xdr:cNvPr>
        <xdr:cNvSpPr txBox="1">
          <a:spLocks noChangeArrowheads="1"/>
        </xdr:cNvSpPr>
      </xdr:nvSpPr>
      <xdr:spPr bwMode="auto">
        <a:xfrm>
          <a:off x="1036320" y="120015"/>
          <a:ext cx="1731637" cy="75433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imes New Roman CE"/>
              <a:cs typeface="Times New Roman CE"/>
            </a:rPr>
            <a:t> ROMANIA</a:t>
          </a:r>
        </a:p>
        <a:p>
          <a:pPr algn="l" rtl="0">
            <a:defRPr sz="1000"/>
          </a:pPr>
          <a:r>
            <a:rPr lang="en-US" sz="1000" b="1" i="0" u="none" strike="noStrike" baseline="0">
              <a:solidFill>
                <a:srgbClr val="000000"/>
              </a:solidFill>
              <a:latin typeface="Times New Roman CE"/>
              <a:cs typeface="Times New Roman CE"/>
            </a:rPr>
            <a:t> JUDEŢUL CONSTANŢA</a:t>
          </a:r>
        </a:p>
        <a:p>
          <a:pPr algn="l" rtl="0">
            <a:defRPr sz="1000"/>
          </a:pPr>
          <a:r>
            <a:rPr lang="en-US" sz="1000" b="1" i="0" u="none" strike="noStrike" baseline="0">
              <a:solidFill>
                <a:srgbClr val="000000"/>
              </a:solidFill>
              <a:latin typeface="Times New Roman CE"/>
              <a:cs typeface="Times New Roman CE"/>
            </a:rPr>
            <a:t> CONSILIUL LOCAL </a:t>
          </a:r>
        </a:p>
        <a:p>
          <a:pPr algn="l" rtl="0">
            <a:defRPr sz="1000"/>
          </a:pPr>
          <a:r>
            <a:rPr lang="en-US" sz="1000" b="1" i="0" u="none" strike="noStrike" baseline="0">
              <a:solidFill>
                <a:srgbClr val="000000"/>
              </a:solidFill>
              <a:latin typeface="Times New Roman CE"/>
              <a:cs typeface="Times New Roman CE"/>
            </a:rPr>
            <a:t> MUNICIPIUL CONSTANŢA</a:t>
          </a:r>
          <a:r>
            <a:rPr lang="en-US" sz="1000" b="0" i="0" u="none" strike="noStrike" baseline="0">
              <a:solidFill>
                <a:srgbClr val="000000"/>
              </a:solidFill>
              <a:latin typeface="Arial CE"/>
              <a:cs typeface="Arial CE"/>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114300</xdr:rowOff>
    </xdr:from>
    <xdr:to>
      <xdr:col>1</xdr:col>
      <xdr:colOff>714375</xdr:colOff>
      <xdr:row>3</xdr:row>
      <xdr:rowOff>114300</xdr:rowOff>
    </xdr:to>
    <xdr:pic>
      <xdr:nvPicPr>
        <xdr:cNvPr id="76351" name="Picture 1" descr="logo2">
          <a:extLst>
            <a:ext uri="{FF2B5EF4-FFF2-40B4-BE49-F238E27FC236}">
              <a16:creationId xmlns:a16="http://schemas.microsoft.com/office/drawing/2014/main" id="{FADAC7B7-F486-1733-2824-ACA3624A8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14300"/>
          <a:ext cx="9048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779145</xdr:colOff>
      <xdr:row>1</xdr:row>
      <xdr:rowOff>19050</xdr:rowOff>
    </xdr:from>
    <xdr:to>
      <xdr:col>2</xdr:col>
      <xdr:colOff>187353</xdr:colOff>
      <xdr:row>5</xdr:row>
      <xdr:rowOff>21041</xdr:rowOff>
    </xdr:to>
    <xdr:sp macro="" textlink="">
      <xdr:nvSpPr>
        <xdr:cNvPr id="3" name="Text Box 3">
          <a:extLst>
            <a:ext uri="{FF2B5EF4-FFF2-40B4-BE49-F238E27FC236}">
              <a16:creationId xmlns:a16="http://schemas.microsoft.com/office/drawing/2014/main" id="{B216F0F5-FF00-E302-8698-DF3EA521F826}"/>
            </a:ext>
          </a:extLst>
        </xdr:cNvPr>
        <xdr:cNvSpPr txBox="1">
          <a:spLocks noChangeArrowheads="1"/>
        </xdr:cNvSpPr>
      </xdr:nvSpPr>
      <xdr:spPr bwMode="auto">
        <a:xfrm>
          <a:off x="1026795" y="152400"/>
          <a:ext cx="1938784" cy="70684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imes New Roman CE"/>
              <a:cs typeface="Times New Roman CE"/>
            </a:rPr>
            <a:t> ROMANIA</a:t>
          </a:r>
        </a:p>
        <a:p>
          <a:pPr algn="l" rtl="0">
            <a:defRPr sz="1000"/>
          </a:pPr>
          <a:r>
            <a:rPr lang="en-US" sz="1000" b="1" i="0" u="none" strike="noStrike" baseline="0">
              <a:solidFill>
                <a:srgbClr val="000000"/>
              </a:solidFill>
              <a:latin typeface="Times New Roman CE"/>
              <a:cs typeface="Times New Roman CE"/>
            </a:rPr>
            <a:t> JUDEŢUL CONSTANŢA</a:t>
          </a:r>
        </a:p>
        <a:p>
          <a:pPr algn="l" rtl="0">
            <a:defRPr sz="1000"/>
          </a:pPr>
          <a:r>
            <a:rPr lang="en-US" sz="1000" b="1" i="0" u="none" strike="noStrike" baseline="0">
              <a:solidFill>
                <a:srgbClr val="000000"/>
              </a:solidFill>
              <a:latin typeface="Times New Roman CE"/>
              <a:cs typeface="Times New Roman CE"/>
            </a:rPr>
            <a:t> CONSILIUL LOCAL </a:t>
          </a:r>
        </a:p>
        <a:p>
          <a:pPr algn="l" rtl="0">
            <a:defRPr sz="1000"/>
          </a:pPr>
          <a:r>
            <a:rPr lang="en-US" sz="1000" b="1" i="0" u="none" strike="noStrike" baseline="0">
              <a:solidFill>
                <a:srgbClr val="000000"/>
              </a:solidFill>
              <a:latin typeface="Times New Roman CE"/>
              <a:cs typeface="Times New Roman CE"/>
            </a:rPr>
            <a:t> MUNICIPIUL CONSTANŢA</a:t>
          </a:r>
          <a:endParaRPr lang="en-US" sz="1000" b="0" i="0" u="none" strike="noStrike" baseline="0">
            <a:solidFill>
              <a:srgbClr val="000000"/>
            </a:solidFill>
            <a:latin typeface="Arial CE"/>
            <a:cs typeface="Arial CE"/>
          </a:endParaRPr>
        </a:p>
        <a:p>
          <a:pPr algn="l" rtl="0">
            <a:defRPr sz="1000"/>
          </a:pPr>
          <a:r>
            <a:rPr lang="en-US" sz="1000" b="0" i="0" u="none" strike="noStrike" baseline="0">
              <a:solidFill>
                <a:srgbClr val="000000"/>
              </a:solidFill>
              <a:latin typeface="Arial CE"/>
              <a:cs typeface="Arial CE"/>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W648"/>
  <sheetViews>
    <sheetView tabSelected="1" view="pageBreakPreview" zoomScale="90" zoomScaleNormal="100" zoomScaleSheetLayoutView="90" workbookViewId="0">
      <selection activeCell="C24" sqref="C24"/>
    </sheetView>
  </sheetViews>
  <sheetFormatPr defaultRowHeight="15"/>
  <cols>
    <col min="1" max="1" width="3.5703125" style="19" customWidth="1"/>
    <col min="2" max="2" width="41.42578125" style="129" customWidth="1"/>
    <col min="3" max="3" width="10.28515625" style="20" customWidth="1"/>
    <col min="4" max="5" width="10" style="20" customWidth="1"/>
    <col min="6" max="7" width="10.7109375" style="20" customWidth="1"/>
    <col min="8" max="8" width="9.5703125" style="20" customWidth="1"/>
    <col min="9" max="9" width="6.28515625" style="20" customWidth="1"/>
    <col min="10" max="10" width="9.28515625" style="20" customWidth="1"/>
    <col min="11" max="11" width="8.140625" style="20" customWidth="1"/>
    <col min="12" max="12" width="8.28515625" style="20" customWidth="1"/>
    <col min="13" max="13" width="9.140625" style="20" customWidth="1"/>
    <col min="14" max="14" width="5.85546875" style="22" customWidth="1"/>
    <col min="15" max="16384" width="9.140625" style="131"/>
  </cols>
  <sheetData>
    <row r="1" spans="1:14" ht="11.25" customHeight="1">
      <c r="B1" s="13" t="s">
        <v>0</v>
      </c>
      <c r="E1" s="68"/>
      <c r="G1" s="3"/>
      <c r="H1" s="75"/>
      <c r="I1" s="248"/>
      <c r="J1" s="249"/>
      <c r="L1" s="3"/>
      <c r="M1" s="21" t="s">
        <v>1</v>
      </c>
    </row>
    <row r="2" spans="1:14">
      <c r="B2" s="23" t="s">
        <v>2</v>
      </c>
      <c r="E2" s="317"/>
      <c r="F2" s="314" t="s">
        <v>3</v>
      </c>
      <c r="G2" s="319"/>
      <c r="H2" s="314" t="s">
        <v>4</v>
      </c>
      <c r="I2" s="314"/>
      <c r="J2" s="314" t="s">
        <v>5</v>
      </c>
      <c r="K2" s="312"/>
      <c r="L2" s="3"/>
      <c r="M2" s="21"/>
    </row>
    <row r="3" spans="1:14">
      <c r="B3" s="23" t="s">
        <v>6</v>
      </c>
      <c r="D3" s="129"/>
      <c r="E3" s="317"/>
      <c r="F3" s="314" t="s">
        <v>7</v>
      </c>
      <c r="G3" s="319"/>
      <c r="H3" s="315"/>
      <c r="I3" s="314"/>
      <c r="J3" s="314" t="s">
        <v>8</v>
      </c>
      <c r="K3" s="312"/>
      <c r="L3" s="3"/>
    </row>
    <row r="4" spans="1:14">
      <c r="B4" s="23" t="s">
        <v>9</v>
      </c>
      <c r="D4" s="129"/>
      <c r="E4" s="313"/>
      <c r="F4" s="314" t="s">
        <v>10</v>
      </c>
      <c r="G4" s="316"/>
      <c r="H4" s="313"/>
      <c r="I4" s="313"/>
      <c r="J4" s="314" t="s">
        <v>11</v>
      </c>
      <c r="K4" s="312"/>
    </row>
    <row r="5" spans="1:14">
      <c r="B5" s="23" t="s">
        <v>12</v>
      </c>
      <c r="D5" s="129"/>
      <c r="E5" s="313"/>
      <c r="F5" s="317" t="s">
        <v>13</v>
      </c>
      <c r="G5" s="319"/>
      <c r="H5" s="319"/>
      <c r="I5" s="319"/>
      <c r="J5" s="319"/>
      <c r="K5" s="313"/>
    </row>
    <row r="6" spans="1:14">
      <c r="E6" s="129"/>
      <c r="F6" s="129"/>
      <c r="G6" s="235"/>
      <c r="H6" s="1"/>
      <c r="J6" s="1"/>
      <c r="K6" s="129"/>
      <c r="L6" s="3"/>
    </row>
    <row r="7" spans="1:14" ht="10.5" customHeight="1">
      <c r="B7" s="23" t="s">
        <v>14</v>
      </c>
      <c r="E7" s="129"/>
      <c r="F7" s="129"/>
      <c r="G7" s="235"/>
      <c r="H7" s="1"/>
      <c r="J7" s="1"/>
      <c r="K7" s="129"/>
      <c r="L7" s="3"/>
    </row>
    <row r="8" spans="1:14" ht="30" customHeight="1">
      <c r="A8" s="385" t="s">
        <v>15</v>
      </c>
      <c r="B8" s="386"/>
      <c r="C8" s="386"/>
      <c r="D8" s="386"/>
      <c r="E8" s="386"/>
      <c r="F8" s="386"/>
      <c r="G8" s="386"/>
      <c r="H8" s="386"/>
      <c r="I8" s="386"/>
      <c r="J8" s="386"/>
      <c r="K8" s="386"/>
      <c r="L8" s="386"/>
      <c r="M8" s="386"/>
    </row>
    <row r="9" spans="1:14" s="25" customFormat="1" ht="12" customHeight="1" thickBot="1">
      <c r="A9" s="26"/>
      <c r="B9" s="134"/>
      <c r="C9" s="27"/>
      <c r="D9" s="27"/>
      <c r="E9" s="27"/>
      <c r="F9" s="27"/>
      <c r="G9" s="27"/>
      <c r="H9" s="27"/>
      <c r="I9" s="27"/>
      <c r="J9" s="28"/>
      <c r="K9" s="27"/>
      <c r="L9" s="126"/>
      <c r="M9" s="29" t="s">
        <v>16</v>
      </c>
      <c r="N9" s="24"/>
    </row>
    <row r="10" spans="1:14" s="25" customFormat="1" ht="67.5" customHeight="1">
      <c r="A10" s="244" t="s">
        <v>17</v>
      </c>
      <c r="B10" s="243" t="s">
        <v>18</v>
      </c>
      <c r="C10" s="245" t="s">
        <v>19</v>
      </c>
      <c r="D10" s="245" t="s">
        <v>20</v>
      </c>
      <c r="E10" s="245" t="s">
        <v>21</v>
      </c>
      <c r="F10" s="245" t="s">
        <v>22</v>
      </c>
      <c r="G10" s="273" t="s">
        <v>23</v>
      </c>
      <c r="H10" s="241" t="s">
        <v>24</v>
      </c>
      <c r="I10" s="241" t="s">
        <v>25</v>
      </c>
      <c r="J10" s="241" t="s">
        <v>26</v>
      </c>
      <c r="K10" s="241" t="s">
        <v>27</v>
      </c>
      <c r="L10" s="241" t="s">
        <v>28</v>
      </c>
      <c r="M10" s="242" t="s">
        <v>29</v>
      </c>
      <c r="N10" s="24"/>
    </row>
    <row r="11" spans="1:14" s="25" customFormat="1" ht="17.25" customHeight="1" thickBot="1">
      <c r="A11" s="30">
        <v>0</v>
      </c>
      <c r="B11" s="31">
        <v>1</v>
      </c>
      <c r="C11" s="31">
        <v>2</v>
      </c>
      <c r="D11" s="31">
        <v>3</v>
      </c>
      <c r="E11" s="31">
        <v>4</v>
      </c>
      <c r="F11" s="31">
        <v>5</v>
      </c>
      <c r="G11" s="31">
        <v>6</v>
      </c>
      <c r="H11" s="31">
        <v>7</v>
      </c>
      <c r="I11" s="31">
        <v>8</v>
      </c>
      <c r="J11" s="210">
        <v>10</v>
      </c>
      <c r="K11" s="31">
        <v>11</v>
      </c>
      <c r="L11" s="31">
        <v>12</v>
      </c>
      <c r="M11" s="31">
        <v>13</v>
      </c>
      <c r="N11" s="24"/>
    </row>
    <row r="12" spans="1:14" s="25" customFormat="1" ht="18.75" customHeight="1">
      <c r="A12" s="26"/>
      <c r="B12" s="134"/>
      <c r="C12" s="26"/>
      <c r="D12" s="26"/>
      <c r="E12" s="26"/>
      <c r="F12" s="26"/>
      <c r="G12" s="263"/>
      <c r="H12" s="263"/>
      <c r="I12" s="263"/>
      <c r="J12" s="263"/>
      <c r="K12" s="263"/>
      <c r="L12" s="263"/>
      <c r="M12" s="263"/>
      <c r="N12" s="24"/>
    </row>
    <row r="13" spans="1:14" s="25" customFormat="1" ht="18.75" customHeight="1">
      <c r="A13" s="18"/>
      <c r="B13" s="32" t="s">
        <v>30</v>
      </c>
      <c r="C13" s="33">
        <f t="shared" ref="C13:F14" si="0">C16+C19+C22</f>
        <v>4086327</v>
      </c>
      <c r="D13" s="33">
        <f t="shared" si="0"/>
        <v>4383411</v>
      </c>
      <c r="E13" s="33">
        <f t="shared" si="0"/>
        <v>717013</v>
      </c>
      <c r="F13" s="33">
        <f t="shared" si="0"/>
        <v>3666398</v>
      </c>
      <c r="G13" s="33">
        <f>H13+I13+J13+K13+L13+M13</f>
        <v>1035340</v>
      </c>
      <c r="H13" s="33">
        <f t="shared" ref="H13:K14" si="1">H16+H19+H22</f>
        <v>649700</v>
      </c>
      <c r="I13" s="33">
        <f t="shared" si="1"/>
        <v>480</v>
      </c>
      <c r="J13" s="33">
        <f t="shared" si="1"/>
        <v>106246</v>
      </c>
      <c r="K13" s="33">
        <f t="shared" si="1"/>
        <v>7174</v>
      </c>
      <c r="L13" s="33">
        <f>L16+L19+L22</f>
        <v>224388</v>
      </c>
      <c r="M13" s="33">
        <f>M16+M19+M22</f>
        <v>47352</v>
      </c>
      <c r="N13" s="24"/>
    </row>
    <row r="14" spans="1:14" s="25" customFormat="1" ht="18.75" customHeight="1">
      <c r="A14" s="18"/>
      <c r="B14" s="32" t="s">
        <v>31</v>
      </c>
      <c r="C14" s="33">
        <f t="shared" si="0"/>
        <v>2079563</v>
      </c>
      <c r="D14" s="33">
        <f t="shared" si="0"/>
        <v>2298519</v>
      </c>
      <c r="E14" s="33">
        <f t="shared" si="0"/>
        <v>543280</v>
      </c>
      <c r="F14" s="33">
        <f t="shared" si="0"/>
        <v>1755239</v>
      </c>
      <c r="G14" s="33">
        <f>H14+I14+J14+K14+L14+M14</f>
        <v>454700.87177727913</v>
      </c>
      <c r="H14" s="33">
        <f t="shared" si="1"/>
        <v>199815.55822280131</v>
      </c>
      <c r="I14" s="33">
        <f t="shared" si="1"/>
        <v>0</v>
      </c>
      <c r="J14" s="33">
        <f t="shared" si="1"/>
        <v>87310.89402171917</v>
      </c>
      <c r="K14" s="33">
        <f t="shared" si="1"/>
        <v>0</v>
      </c>
      <c r="L14" s="33">
        <f>L17+L20+L23</f>
        <v>120604.41953275865</v>
      </c>
      <c r="M14" s="33">
        <f>M17+M20+M23</f>
        <v>46970</v>
      </c>
      <c r="N14" s="24"/>
    </row>
    <row r="15" spans="1:14" s="25" customFormat="1" ht="18.75" customHeight="1">
      <c r="A15" s="12"/>
      <c r="B15" s="129"/>
      <c r="C15" s="14"/>
      <c r="D15" s="14"/>
      <c r="E15" s="14"/>
      <c r="F15" s="14"/>
      <c r="G15" s="14"/>
      <c r="H15" s="14"/>
      <c r="I15" s="14"/>
      <c r="J15" s="14"/>
      <c r="K15" s="14"/>
      <c r="L15" s="14"/>
      <c r="M15" s="14"/>
      <c r="N15" s="24"/>
    </row>
    <row r="16" spans="1:14" s="25" customFormat="1" ht="18.75" customHeight="1">
      <c r="A16" s="18" t="s">
        <v>32</v>
      </c>
      <c r="B16" s="34" t="s">
        <v>33</v>
      </c>
      <c r="C16" s="33">
        <f t="shared" ref="C16:M16" si="2">C32+C87+C106+C229+C263+C336+C355+C414+C453+C475+C518+C624</f>
        <v>650299</v>
      </c>
      <c r="D16" s="33">
        <f t="shared" si="2"/>
        <v>943230</v>
      </c>
      <c r="E16" s="33">
        <f t="shared" si="2"/>
        <v>577440</v>
      </c>
      <c r="F16" s="33">
        <f t="shared" si="2"/>
        <v>365790</v>
      </c>
      <c r="G16" s="33">
        <f t="shared" si="2"/>
        <v>121988</v>
      </c>
      <c r="H16" s="33">
        <f t="shared" si="2"/>
        <v>0</v>
      </c>
      <c r="I16" s="33">
        <f t="shared" si="2"/>
        <v>0</v>
      </c>
      <c r="J16" s="33">
        <f t="shared" si="2"/>
        <v>106160</v>
      </c>
      <c r="K16" s="33">
        <f t="shared" si="2"/>
        <v>0</v>
      </c>
      <c r="L16" s="33">
        <f t="shared" si="2"/>
        <v>15828</v>
      </c>
      <c r="M16" s="33">
        <f t="shared" si="2"/>
        <v>0</v>
      </c>
      <c r="N16" s="24"/>
    </row>
    <row r="17" spans="1:14" s="25" customFormat="1" ht="18.75" customHeight="1">
      <c r="A17" s="18"/>
      <c r="B17" s="35" t="s">
        <v>34</v>
      </c>
      <c r="C17" s="33">
        <f t="shared" ref="C17:M17" si="3">C33+C88+C107+C230+C264+C337+C356+C415+C519+C454+C476+C625</f>
        <v>546339</v>
      </c>
      <c r="D17" s="33">
        <f t="shared" si="3"/>
        <v>761341</v>
      </c>
      <c r="E17" s="33">
        <f t="shared" si="3"/>
        <v>537880</v>
      </c>
      <c r="F17" s="33">
        <f t="shared" si="3"/>
        <v>223461</v>
      </c>
      <c r="G17" s="33">
        <f t="shared" si="3"/>
        <v>98961.294993385556</v>
      </c>
      <c r="H17" s="33">
        <f t="shared" si="3"/>
        <v>0</v>
      </c>
      <c r="I17" s="33">
        <f t="shared" si="3"/>
        <v>0</v>
      </c>
      <c r="J17" s="33">
        <f t="shared" si="3"/>
        <v>87310.89402171917</v>
      </c>
      <c r="K17" s="33">
        <f t="shared" si="3"/>
        <v>0</v>
      </c>
      <c r="L17" s="33">
        <f t="shared" si="3"/>
        <v>11650.400971666393</v>
      </c>
      <c r="M17" s="33">
        <f t="shared" si="3"/>
        <v>0</v>
      </c>
      <c r="N17" s="24"/>
    </row>
    <row r="18" spans="1:14" s="25" customFormat="1" ht="18.75" customHeight="1">
      <c r="A18" s="18"/>
      <c r="B18" s="135"/>
      <c r="C18" s="36"/>
      <c r="D18" s="36"/>
      <c r="E18" s="36"/>
      <c r="F18" s="36"/>
      <c r="G18" s="36"/>
      <c r="H18" s="36"/>
      <c r="I18" s="36"/>
      <c r="J18" s="36"/>
      <c r="K18" s="36"/>
      <c r="L18" s="36"/>
      <c r="M18" s="36"/>
      <c r="N18" s="24"/>
    </row>
    <row r="19" spans="1:14" s="25" customFormat="1" ht="18.75" customHeight="1">
      <c r="A19" s="18" t="s">
        <v>35</v>
      </c>
      <c r="B19" s="136" t="s">
        <v>33</v>
      </c>
      <c r="C19" s="33">
        <f t="shared" ref="C19:M19" si="4">C35+C90+C121+C232+C270+C339+C371+C418+C569+C461+C492+C627</f>
        <v>3129646</v>
      </c>
      <c r="D19" s="33">
        <f t="shared" si="4"/>
        <v>3133296</v>
      </c>
      <c r="E19" s="33">
        <f t="shared" si="4"/>
        <v>107119</v>
      </c>
      <c r="F19" s="33">
        <f t="shared" si="4"/>
        <v>3026177</v>
      </c>
      <c r="G19" s="33">
        <f t="shared" si="4"/>
        <v>712825</v>
      </c>
      <c r="H19" s="33">
        <f t="shared" si="4"/>
        <v>507229</v>
      </c>
      <c r="I19" s="33">
        <f t="shared" si="4"/>
        <v>0</v>
      </c>
      <c r="J19" s="33">
        <f t="shared" si="4"/>
        <v>0</v>
      </c>
      <c r="K19" s="33">
        <f t="shared" si="4"/>
        <v>0</v>
      </c>
      <c r="L19" s="33">
        <f t="shared" si="4"/>
        <v>158251</v>
      </c>
      <c r="M19" s="33">
        <f t="shared" si="4"/>
        <v>47345</v>
      </c>
      <c r="N19" s="24"/>
    </row>
    <row r="20" spans="1:14" s="25" customFormat="1" ht="18.75" customHeight="1">
      <c r="A20" s="18"/>
      <c r="B20" s="35" t="s">
        <v>36</v>
      </c>
      <c r="C20" s="33">
        <f t="shared" ref="C20:M20" si="5">C36+C91+C122+C233+C271+C340+C372+C419+C570+C462+C493+C628</f>
        <v>1533224</v>
      </c>
      <c r="D20" s="33">
        <f t="shared" si="5"/>
        <v>1537178</v>
      </c>
      <c r="E20" s="33">
        <f t="shared" si="5"/>
        <v>5400</v>
      </c>
      <c r="F20" s="33">
        <f t="shared" si="5"/>
        <v>1531778</v>
      </c>
      <c r="G20" s="33">
        <f t="shared" si="5"/>
        <v>355739.57678389363</v>
      </c>
      <c r="H20" s="33">
        <f t="shared" si="5"/>
        <v>199815.55822280131</v>
      </c>
      <c r="I20" s="33">
        <f t="shared" si="5"/>
        <v>0</v>
      </c>
      <c r="J20" s="33">
        <f t="shared" si="5"/>
        <v>0</v>
      </c>
      <c r="K20" s="33">
        <f t="shared" si="5"/>
        <v>0</v>
      </c>
      <c r="L20" s="33">
        <f t="shared" si="5"/>
        <v>108954.01856109226</v>
      </c>
      <c r="M20" s="33">
        <f t="shared" si="5"/>
        <v>46970</v>
      </c>
      <c r="N20" s="24"/>
    </row>
    <row r="21" spans="1:14" s="37" customFormat="1" ht="18.75" customHeight="1">
      <c r="A21" s="18"/>
      <c r="B21" s="135"/>
      <c r="C21" s="36"/>
      <c r="D21" s="36"/>
      <c r="E21" s="36"/>
      <c r="F21" s="36"/>
      <c r="G21" s="36"/>
      <c r="H21" s="36"/>
      <c r="I21" s="36"/>
      <c r="J21" s="36"/>
      <c r="K21" s="36"/>
      <c r="L21" s="36"/>
      <c r="M21" s="36"/>
      <c r="N21" s="24"/>
    </row>
    <row r="22" spans="1:14" s="39" customFormat="1" ht="18.75" customHeight="1">
      <c r="A22" s="18" t="s">
        <v>37</v>
      </c>
      <c r="B22" s="136" t="s">
        <v>38</v>
      </c>
      <c r="C22" s="33">
        <f t="shared" ref="C22:M22" si="6">C70+C93+C211+C243+C313+C344+C403+C429+C605+C465+C503+C630</f>
        <v>306382</v>
      </c>
      <c r="D22" s="33">
        <f t="shared" si="6"/>
        <v>306885</v>
      </c>
      <c r="E22" s="33">
        <f t="shared" si="6"/>
        <v>32454</v>
      </c>
      <c r="F22" s="33">
        <f t="shared" si="6"/>
        <v>274431</v>
      </c>
      <c r="G22" s="33">
        <f t="shared" si="6"/>
        <v>200527</v>
      </c>
      <c r="H22" s="33">
        <f t="shared" si="6"/>
        <v>142471</v>
      </c>
      <c r="I22" s="33">
        <f t="shared" si="6"/>
        <v>480</v>
      </c>
      <c r="J22" s="33">
        <f t="shared" si="6"/>
        <v>86</v>
      </c>
      <c r="K22" s="33">
        <f t="shared" si="6"/>
        <v>7174</v>
      </c>
      <c r="L22" s="33">
        <f t="shared" si="6"/>
        <v>50309</v>
      </c>
      <c r="M22" s="33">
        <f t="shared" si="6"/>
        <v>7</v>
      </c>
      <c r="N22" s="38"/>
    </row>
    <row r="23" spans="1:14" s="39" customFormat="1" ht="18.75" customHeight="1">
      <c r="A23" s="40"/>
      <c r="B23" s="35" t="s">
        <v>39</v>
      </c>
      <c r="C23" s="33">
        <f>0</f>
        <v>0</v>
      </c>
      <c r="D23" s="33">
        <f>0</f>
        <v>0</v>
      </c>
      <c r="E23" s="33">
        <f>0</f>
        <v>0</v>
      </c>
      <c r="F23" s="33">
        <f>0</f>
        <v>0</v>
      </c>
      <c r="G23" s="33">
        <f>0</f>
        <v>0</v>
      </c>
      <c r="H23" s="33">
        <f>0</f>
        <v>0</v>
      </c>
      <c r="I23" s="33">
        <f>0</f>
        <v>0</v>
      </c>
      <c r="J23" s="33">
        <f>0</f>
        <v>0</v>
      </c>
      <c r="K23" s="33">
        <f>0</f>
        <v>0</v>
      </c>
      <c r="L23" s="33">
        <f>0</f>
        <v>0</v>
      </c>
      <c r="M23" s="33">
        <f>0</f>
        <v>0</v>
      </c>
      <c r="N23" s="38"/>
    </row>
    <row r="24" spans="1:14" s="39" customFormat="1" ht="18.75" customHeight="1">
      <c r="A24" s="40"/>
      <c r="B24" s="32"/>
      <c r="C24" s="236"/>
      <c r="D24" s="236"/>
      <c r="E24" s="236"/>
      <c r="F24" s="236"/>
      <c r="G24" s="236"/>
      <c r="H24" s="236"/>
      <c r="I24" s="236"/>
      <c r="J24" s="236"/>
      <c r="K24" s="236"/>
      <c r="L24" s="236"/>
      <c r="M24" s="236"/>
      <c r="N24" s="38"/>
    </row>
    <row r="25" spans="1:14" s="39" customFormat="1" ht="18.75" customHeight="1">
      <c r="A25" s="40"/>
      <c r="B25" s="32"/>
      <c r="C25" s="236"/>
      <c r="D25" s="236"/>
      <c r="E25" s="236"/>
      <c r="F25" s="236"/>
      <c r="G25" s="236"/>
      <c r="H25" s="236"/>
      <c r="I25" s="236"/>
      <c r="J25" s="236"/>
      <c r="K25" s="236"/>
      <c r="L25" s="236"/>
      <c r="M25" s="236"/>
      <c r="N25" s="38"/>
    </row>
    <row r="26" spans="1:14" s="39" customFormat="1" ht="18.75" customHeight="1">
      <c r="A26" s="40"/>
      <c r="B26" s="32"/>
      <c r="C26" s="236"/>
      <c r="D26" s="236"/>
      <c r="E26" s="236"/>
      <c r="F26" s="236"/>
      <c r="G26" s="236"/>
      <c r="H26" s="236"/>
      <c r="I26" s="236"/>
      <c r="J26" s="236"/>
      <c r="K26" s="236"/>
      <c r="L26" s="236"/>
      <c r="M26" s="236"/>
      <c r="N26" s="38"/>
    </row>
    <row r="27" spans="1:14" s="39" customFormat="1" ht="18.75" customHeight="1">
      <c r="A27" s="40"/>
      <c r="B27" s="32"/>
      <c r="C27" s="236"/>
      <c r="D27" s="236"/>
      <c r="E27" s="236"/>
      <c r="F27" s="236"/>
      <c r="G27" s="236"/>
      <c r="H27" s="236"/>
      <c r="I27" s="236"/>
      <c r="J27" s="236"/>
      <c r="K27" s="236"/>
      <c r="L27" s="236"/>
      <c r="M27" s="236"/>
      <c r="N27" s="38"/>
    </row>
    <row r="28" spans="1:14" s="41" customFormat="1" ht="30.75" customHeight="1">
      <c r="A28" s="12"/>
      <c r="B28" s="254" t="s">
        <v>40</v>
      </c>
      <c r="C28" s="13"/>
      <c r="D28" s="14"/>
      <c r="E28" s="14"/>
      <c r="F28" s="14"/>
      <c r="G28" s="269"/>
      <c r="H28" s="269"/>
      <c r="I28" s="269"/>
      <c r="J28" s="270"/>
      <c r="K28" s="269"/>
      <c r="L28" s="270"/>
      <c r="M28" s="46" t="s">
        <v>41</v>
      </c>
      <c r="N28" s="22"/>
    </row>
    <row r="29" spans="1:14" s="41" customFormat="1" ht="23.25" customHeight="1">
      <c r="A29" s="15"/>
      <c r="B29" s="16" t="s">
        <v>42</v>
      </c>
      <c r="C29" s="33">
        <f t="shared" ref="C29:M29" si="7">C32+C35+C70</f>
        <v>116218</v>
      </c>
      <c r="D29" s="33">
        <f t="shared" si="7"/>
        <v>118236</v>
      </c>
      <c r="E29" s="33">
        <f t="shared" si="7"/>
        <v>6862</v>
      </c>
      <c r="F29" s="33">
        <f t="shared" si="7"/>
        <v>111374</v>
      </c>
      <c r="G29" s="33">
        <f t="shared" si="7"/>
        <v>42694</v>
      </c>
      <c r="H29" s="33">
        <f t="shared" si="7"/>
        <v>26174</v>
      </c>
      <c r="I29" s="33">
        <f t="shared" si="7"/>
        <v>0</v>
      </c>
      <c r="J29" s="33">
        <f t="shared" si="7"/>
        <v>0</v>
      </c>
      <c r="K29" s="33">
        <f t="shared" si="7"/>
        <v>0</v>
      </c>
      <c r="L29" s="33">
        <f t="shared" si="7"/>
        <v>16520</v>
      </c>
      <c r="M29" s="33">
        <f t="shared" si="7"/>
        <v>0</v>
      </c>
      <c r="N29" s="22"/>
    </row>
    <row r="30" spans="1:14" s="41" customFormat="1" ht="23.25" customHeight="1">
      <c r="A30" s="18"/>
      <c r="B30" s="16"/>
      <c r="C30" s="33">
        <f t="shared" ref="C30:M30" si="8">C33+C36+C71</f>
        <v>62787</v>
      </c>
      <c r="D30" s="33">
        <f t="shared" si="8"/>
        <v>64602</v>
      </c>
      <c r="E30" s="33">
        <f t="shared" si="8"/>
        <v>0</v>
      </c>
      <c r="F30" s="33">
        <f t="shared" si="8"/>
        <v>64602</v>
      </c>
      <c r="G30" s="33">
        <f t="shared" si="8"/>
        <v>20535</v>
      </c>
      <c r="H30" s="33">
        <f t="shared" si="8"/>
        <v>15637</v>
      </c>
      <c r="I30" s="33">
        <f t="shared" si="8"/>
        <v>0</v>
      </c>
      <c r="J30" s="33">
        <f t="shared" si="8"/>
        <v>0</v>
      </c>
      <c r="K30" s="33">
        <f t="shared" si="8"/>
        <v>0</v>
      </c>
      <c r="L30" s="33">
        <f t="shared" si="8"/>
        <v>4898</v>
      </c>
      <c r="M30" s="33">
        <f t="shared" si="8"/>
        <v>0</v>
      </c>
      <c r="N30" s="22"/>
    </row>
    <row r="31" spans="1:14" s="41" customFormat="1" ht="28.5" customHeight="1">
      <c r="A31" s="12"/>
      <c r="B31" s="129"/>
      <c r="C31" s="14"/>
      <c r="D31" s="14"/>
      <c r="E31" s="14"/>
      <c r="F31" s="14"/>
      <c r="G31" s="46"/>
      <c r="H31" s="46"/>
      <c r="I31" s="46"/>
      <c r="J31" s="46"/>
      <c r="K31" s="46"/>
      <c r="L31" s="46"/>
      <c r="M31" s="14"/>
      <c r="N31" s="22"/>
    </row>
    <row r="32" spans="1:14" s="41" customFormat="1" ht="19.5" customHeight="1">
      <c r="A32" s="18" t="s">
        <v>32</v>
      </c>
      <c r="B32" s="34" t="s">
        <v>33</v>
      </c>
      <c r="C32" s="33">
        <v>0</v>
      </c>
      <c r="D32" s="33">
        <v>0</v>
      </c>
      <c r="E32" s="33">
        <v>0</v>
      </c>
      <c r="F32" s="33">
        <f>D32-E32</f>
        <v>0</v>
      </c>
      <c r="G32" s="33">
        <f>SUM(H32:M32)</f>
        <v>0</v>
      </c>
      <c r="H32" s="33">
        <v>0</v>
      </c>
      <c r="I32" s="33">
        <v>0</v>
      </c>
      <c r="J32" s="33">
        <v>0</v>
      </c>
      <c r="K32" s="33">
        <v>0</v>
      </c>
      <c r="L32" s="33">
        <v>0</v>
      </c>
      <c r="M32" s="33">
        <v>0</v>
      </c>
      <c r="N32" s="22"/>
    </row>
    <row r="33" spans="1:23" s="41" customFormat="1" ht="19.5" customHeight="1">
      <c r="A33" s="18"/>
      <c r="B33" s="35" t="s">
        <v>34</v>
      </c>
      <c r="C33" s="33">
        <v>0</v>
      </c>
      <c r="D33" s="33">
        <v>0</v>
      </c>
      <c r="E33" s="33">
        <v>0</v>
      </c>
      <c r="F33" s="33">
        <f>D33-E33</f>
        <v>0</v>
      </c>
      <c r="G33" s="33">
        <f>SUM(H33:M33)</f>
        <v>0</v>
      </c>
      <c r="H33" s="33">
        <v>0</v>
      </c>
      <c r="I33" s="33">
        <v>0</v>
      </c>
      <c r="J33" s="33">
        <v>0</v>
      </c>
      <c r="K33" s="33">
        <v>0</v>
      </c>
      <c r="L33" s="33">
        <v>0</v>
      </c>
      <c r="M33" s="33">
        <v>0</v>
      </c>
      <c r="N33" s="22"/>
    </row>
    <row r="34" spans="1:23" s="41" customFormat="1" ht="27" customHeight="1">
      <c r="A34" s="18"/>
      <c r="B34" s="129"/>
      <c r="C34" s="14"/>
      <c r="D34" s="14"/>
      <c r="E34" s="14"/>
      <c r="F34" s="14"/>
      <c r="G34" s="236"/>
      <c r="H34" s="14"/>
      <c r="I34" s="14"/>
      <c r="J34" s="14"/>
      <c r="K34" s="14"/>
      <c r="L34" s="14"/>
      <c r="M34" s="14"/>
      <c r="N34" s="22"/>
    </row>
    <row r="35" spans="1:23" s="41" customFormat="1" ht="17.25" customHeight="1">
      <c r="A35" s="18" t="s">
        <v>35</v>
      </c>
      <c r="B35" s="34" t="s">
        <v>43</v>
      </c>
      <c r="C35" s="33">
        <f>C38+C42+C46+C50+C54+C58+C62+C66</f>
        <v>98365</v>
      </c>
      <c r="D35" s="33">
        <f t="shared" ref="D35:M35" si="9">D38+D42+D46+D50+D54+D58+D62+D66</f>
        <v>100383</v>
      </c>
      <c r="E35" s="33">
        <f t="shared" si="9"/>
        <v>11</v>
      </c>
      <c r="F35" s="33">
        <f t="shared" si="9"/>
        <v>100372</v>
      </c>
      <c r="G35" s="33">
        <f t="shared" si="9"/>
        <v>31692</v>
      </c>
      <c r="H35" s="33">
        <f t="shared" si="9"/>
        <v>24752</v>
      </c>
      <c r="I35" s="33">
        <f t="shared" si="9"/>
        <v>0</v>
      </c>
      <c r="J35" s="33">
        <f t="shared" si="9"/>
        <v>0</v>
      </c>
      <c r="K35" s="33">
        <f t="shared" si="9"/>
        <v>0</v>
      </c>
      <c r="L35" s="33">
        <f t="shared" si="9"/>
        <v>6940</v>
      </c>
      <c r="M35" s="33">
        <f t="shared" si="9"/>
        <v>0</v>
      </c>
      <c r="N35" s="22"/>
    </row>
    <row r="36" spans="1:23" s="41" customFormat="1" ht="17.25" customHeight="1">
      <c r="A36" s="18"/>
      <c r="B36" s="35" t="s">
        <v>36</v>
      </c>
      <c r="C36" s="33">
        <f>C39+C43+C47+C51+C55+C59+C63+C67</f>
        <v>62787</v>
      </c>
      <c r="D36" s="33">
        <f t="shared" ref="D36:M36" si="10">D39+D43+D47+D51+D55+D59+D63+D67</f>
        <v>64602</v>
      </c>
      <c r="E36" s="33">
        <f t="shared" si="10"/>
        <v>0</v>
      </c>
      <c r="F36" s="33">
        <f t="shared" si="10"/>
        <v>64602</v>
      </c>
      <c r="G36" s="33">
        <f t="shared" si="10"/>
        <v>20535</v>
      </c>
      <c r="H36" s="33">
        <f t="shared" si="10"/>
        <v>15637</v>
      </c>
      <c r="I36" s="33">
        <f t="shared" si="10"/>
        <v>0</v>
      </c>
      <c r="J36" s="33">
        <f t="shared" si="10"/>
        <v>0</v>
      </c>
      <c r="K36" s="33">
        <f t="shared" si="10"/>
        <v>0</v>
      </c>
      <c r="L36" s="33">
        <f t="shared" si="10"/>
        <v>4898</v>
      </c>
      <c r="M36" s="33">
        <f t="shared" si="10"/>
        <v>0</v>
      </c>
      <c r="N36" s="22"/>
    </row>
    <row r="37" spans="1:23" s="41" customFormat="1" ht="25.5" customHeight="1">
      <c r="A37" s="18"/>
      <c r="B37" s="32"/>
      <c r="C37" s="14"/>
      <c r="D37" s="14"/>
      <c r="E37" s="14"/>
      <c r="F37" s="14"/>
      <c r="G37" s="236"/>
      <c r="H37" s="14"/>
      <c r="I37" s="14"/>
      <c r="J37" s="14"/>
      <c r="K37" s="14"/>
      <c r="L37" s="14"/>
      <c r="M37" s="14"/>
      <c r="N37" s="22"/>
    </row>
    <row r="38" spans="1:23" s="41" customFormat="1" ht="32.25" customHeight="1">
      <c r="A38" s="50">
        <v>1</v>
      </c>
      <c r="B38" s="192" t="s">
        <v>44</v>
      </c>
      <c r="C38" s="356">
        <v>9410</v>
      </c>
      <c r="D38" s="356">
        <v>9410</v>
      </c>
      <c r="E38" s="356">
        <v>0</v>
      </c>
      <c r="F38" s="2">
        <f>D38-E38</f>
        <v>9410</v>
      </c>
      <c r="G38" s="58">
        <f>SUM(H38:M38)</f>
        <v>5481</v>
      </c>
      <c r="H38" s="51"/>
      <c r="I38" s="51"/>
      <c r="J38" s="51"/>
      <c r="K38" s="51"/>
      <c r="L38" s="51">
        <v>5481</v>
      </c>
      <c r="M38" s="51"/>
      <c r="N38" s="22" t="s">
        <v>45</v>
      </c>
    </row>
    <row r="39" spans="1:23" s="41" customFormat="1" ht="25.5" customHeight="1">
      <c r="A39" s="50"/>
      <c r="B39" s="171" t="s">
        <v>46</v>
      </c>
      <c r="C39" s="51">
        <v>6815</v>
      </c>
      <c r="D39" s="51">
        <v>6815</v>
      </c>
      <c r="E39" s="51">
        <v>0</v>
      </c>
      <c r="F39" s="2">
        <f>D39-E39</f>
        <v>6815</v>
      </c>
      <c r="G39" s="58">
        <f>SUM(H39:M39)</f>
        <v>3970</v>
      </c>
      <c r="H39" s="51"/>
      <c r="I39" s="51"/>
      <c r="J39" s="51"/>
      <c r="K39" s="51"/>
      <c r="L39" s="51">
        <v>3970</v>
      </c>
      <c r="M39" s="51"/>
      <c r="N39" s="22"/>
    </row>
    <row r="40" spans="1:23" s="41" customFormat="1" ht="16.5" customHeight="1">
      <c r="A40" s="18"/>
      <c r="B40" s="32"/>
      <c r="C40" s="14"/>
      <c r="D40" s="14"/>
      <c r="E40" s="14"/>
      <c r="F40" s="14"/>
      <c r="G40" s="236"/>
      <c r="H40" s="14"/>
      <c r="I40" s="14"/>
      <c r="J40" s="14"/>
      <c r="K40" s="14"/>
      <c r="L40" s="14"/>
      <c r="M40" s="14"/>
      <c r="N40" s="22"/>
    </row>
    <row r="41" spans="1:23" s="41" customFormat="1" ht="16.5" customHeight="1">
      <c r="A41" s="18"/>
      <c r="B41" s="32"/>
      <c r="C41" s="14"/>
      <c r="D41" s="14"/>
      <c r="E41" s="14"/>
      <c r="F41" s="14"/>
      <c r="G41" s="236"/>
      <c r="H41" s="14"/>
      <c r="I41" s="14"/>
      <c r="J41" s="14"/>
      <c r="K41" s="14"/>
      <c r="L41" s="14"/>
      <c r="M41" s="14"/>
      <c r="N41" s="22"/>
    </row>
    <row r="42" spans="1:23" s="41" customFormat="1" ht="46.5" customHeight="1">
      <c r="A42" s="50">
        <v>2</v>
      </c>
      <c r="B42" s="192" t="s">
        <v>47</v>
      </c>
      <c r="C42" s="356">
        <v>2726</v>
      </c>
      <c r="D42" s="356">
        <v>4744</v>
      </c>
      <c r="E42" s="356">
        <v>0</v>
      </c>
      <c r="F42" s="2">
        <f>D42-E42</f>
        <v>4744</v>
      </c>
      <c r="G42" s="58">
        <f>SUM(H42:M42)</f>
        <v>1</v>
      </c>
      <c r="H42" s="51"/>
      <c r="I42" s="51"/>
      <c r="J42" s="51"/>
      <c r="K42" s="51"/>
      <c r="L42" s="51">
        <v>1</v>
      </c>
      <c r="M42" s="51"/>
      <c r="N42" s="22" t="s">
        <v>45</v>
      </c>
    </row>
    <row r="43" spans="1:23" s="41" customFormat="1" ht="25.5" customHeight="1">
      <c r="A43" s="50"/>
      <c r="B43" s="171" t="s">
        <v>48</v>
      </c>
      <c r="C43" s="51">
        <v>1809</v>
      </c>
      <c r="D43" s="51">
        <v>3624</v>
      </c>
      <c r="E43" s="51">
        <v>0</v>
      </c>
      <c r="F43" s="2">
        <f>D43-E43</f>
        <v>3624</v>
      </c>
      <c r="G43" s="58">
        <f>SUM(H43:M43)</f>
        <v>1</v>
      </c>
      <c r="H43" s="51"/>
      <c r="I43" s="51"/>
      <c r="J43" s="51"/>
      <c r="K43" s="51"/>
      <c r="L43" s="51">
        <v>1</v>
      </c>
      <c r="M43" s="51"/>
      <c r="N43" s="22"/>
    </row>
    <row r="44" spans="1:23" s="41" customFormat="1" ht="25.5" customHeight="1">
      <c r="A44" s="50"/>
      <c r="B44" s="171"/>
      <c r="C44" s="52"/>
      <c r="D44" s="52"/>
      <c r="E44" s="52"/>
      <c r="F44" s="1"/>
      <c r="G44" s="202"/>
      <c r="H44" s="52"/>
      <c r="I44" s="52"/>
      <c r="J44" s="52"/>
      <c r="K44" s="52"/>
      <c r="L44" s="52"/>
      <c r="M44" s="52"/>
      <c r="N44" s="22"/>
    </row>
    <row r="45" spans="1:23" s="41" customFormat="1" ht="25.5" customHeight="1">
      <c r="A45" s="50"/>
      <c r="B45" s="171"/>
      <c r="C45" s="52"/>
      <c r="D45" s="52"/>
      <c r="E45" s="52"/>
      <c r="F45" s="1"/>
      <c r="G45" s="202"/>
      <c r="H45" s="52"/>
      <c r="I45" s="52"/>
      <c r="J45" s="52"/>
      <c r="K45" s="52"/>
      <c r="L45" s="52"/>
      <c r="M45" s="52"/>
      <c r="N45" s="22"/>
    </row>
    <row r="46" spans="1:23" s="41" customFormat="1" ht="25.5" customHeight="1">
      <c r="A46" s="50">
        <v>3</v>
      </c>
      <c r="B46" s="192" t="s">
        <v>49</v>
      </c>
      <c r="C46" s="356">
        <v>4744</v>
      </c>
      <c r="D46" s="356">
        <v>4744</v>
      </c>
      <c r="E46" s="356">
        <v>0</v>
      </c>
      <c r="F46" s="2">
        <f>D46-E46</f>
        <v>4744</v>
      </c>
      <c r="G46" s="58">
        <f>SUM(H46:M46)</f>
        <v>1</v>
      </c>
      <c r="H46" s="51"/>
      <c r="I46" s="51"/>
      <c r="J46" s="51"/>
      <c r="K46" s="51"/>
      <c r="L46" s="51">
        <v>1</v>
      </c>
      <c r="M46" s="51"/>
      <c r="N46" s="22" t="s">
        <v>45</v>
      </c>
      <c r="O46" s="50"/>
      <c r="P46" s="202"/>
      <c r="Q46" s="52"/>
      <c r="R46" s="52"/>
      <c r="S46" s="52"/>
      <c r="T46" s="52"/>
      <c r="U46" s="52"/>
      <c r="V46" s="52"/>
      <c r="W46" s="22"/>
    </row>
    <row r="47" spans="1:23" s="41" customFormat="1" ht="25.5" customHeight="1">
      <c r="A47" s="50"/>
      <c r="B47" s="171" t="s">
        <v>48</v>
      </c>
      <c r="C47" s="51">
        <v>3624</v>
      </c>
      <c r="D47" s="51">
        <v>3624</v>
      </c>
      <c r="E47" s="51">
        <v>0</v>
      </c>
      <c r="F47" s="2">
        <f>D47-E47</f>
        <v>3624</v>
      </c>
      <c r="G47" s="58">
        <f>SUM(H47:M47)</f>
        <v>1</v>
      </c>
      <c r="H47" s="51"/>
      <c r="I47" s="51"/>
      <c r="J47" s="51"/>
      <c r="K47" s="51"/>
      <c r="L47" s="51">
        <v>1</v>
      </c>
      <c r="M47" s="51"/>
      <c r="N47" s="22"/>
      <c r="O47" s="50"/>
      <c r="P47" s="202"/>
      <c r="Q47" s="52"/>
      <c r="R47" s="52"/>
      <c r="S47" s="52"/>
      <c r="T47" s="52"/>
      <c r="U47" s="52"/>
      <c r="V47" s="52"/>
      <c r="W47" s="22"/>
    </row>
    <row r="48" spans="1:23" s="41" customFormat="1" ht="25.5" customHeight="1">
      <c r="A48" s="50"/>
      <c r="B48" s="171"/>
      <c r="C48" s="52"/>
      <c r="D48" s="52"/>
      <c r="E48" s="52"/>
      <c r="F48" s="1"/>
      <c r="G48" s="202"/>
      <c r="H48" s="52"/>
      <c r="I48" s="52"/>
      <c r="J48" s="52"/>
      <c r="K48" s="52"/>
      <c r="L48" s="52"/>
      <c r="M48" s="52"/>
      <c r="N48" s="22"/>
    </row>
    <row r="49" spans="1:14" s="41" customFormat="1" ht="25.5" customHeight="1">
      <c r="A49" s="50"/>
      <c r="B49" s="171"/>
      <c r="C49" s="52"/>
      <c r="D49" s="52"/>
      <c r="E49" s="52"/>
      <c r="F49" s="1"/>
      <c r="G49" s="202"/>
      <c r="H49" s="52"/>
      <c r="I49" s="52"/>
      <c r="J49" s="52"/>
      <c r="K49" s="52"/>
      <c r="L49" s="52"/>
      <c r="M49" s="52"/>
      <c r="N49" s="22"/>
    </row>
    <row r="50" spans="1:14" s="41" customFormat="1" ht="47.25" customHeight="1">
      <c r="A50" s="50">
        <v>4</v>
      </c>
      <c r="B50" s="192" t="s">
        <v>50</v>
      </c>
      <c r="C50" s="356">
        <v>11646</v>
      </c>
      <c r="D50" s="356">
        <f>C50</f>
        <v>11646</v>
      </c>
      <c r="E50" s="356">
        <v>0</v>
      </c>
      <c r="F50" s="2">
        <f>D50-E50</f>
        <v>11646</v>
      </c>
      <c r="G50" s="58">
        <f>SUM(H50:M50)</f>
        <v>4502</v>
      </c>
      <c r="H50" s="51">
        <v>4263</v>
      </c>
      <c r="I50" s="51"/>
      <c r="J50" s="51"/>
      <c r="K50" s="51"/>
      <c r="L50" s="51">
        <v>239</v>
      </c>
      <c r="M50" s="51"/>
      <c r="N50" s="22" t="s">
        <v>45</v>
      </c>
    </row>
    <row r="51" spans="1:14" s="41" customFormat="1" ht="15.75" customHeight="1">
      <c r="A51" s="50"/>
      <c r="B51" s="171" t="s">
        <v>51</v>
      </c>
      <c r="C51" s="51">
        <v>8516</v>
      </c>
      <c r="D51" s="51">
        <f>C51</f>
        <v>8516</v>
      </c>
      <c r="E51" s="51">
        <v>0</v>
      </c>
      <c r="F51" s="2">
        <f>D51-E51</f>
        <v>8516</v>
      </c>
      <c r="G51" s="58">
        <f>SUM(H51:M51)</f>
        <v>3292</v>
      </c>
      <c r="H51" s="51">
        <v>3117</v>
      </c>
      <c r="I51" s="51"/>
      <c r="J51" s="51"/>
      <c r="K51" s="51"/>
      <c r="L51" s="51">
        <v>175</v>
      </c>
      <c r="M51" s="51"/>
      <c r="N51" s="22"/>
    </row>
    <row r="52" spans="1:14" s="41" customFormat="1" ht="15.75" customHeight="1">
      <c r="A52" s="50"/>
      <c r="B52" s="171"/>
      <c r="C52" s="52"/>
      <c r="D52" s="52"/>
      <c r="E52" s="52"/>
      <c r="F52" s="1"/>
      <c r="G52" s="202"/>
      <c r="H52" s="52"/>
      <c r="I52" s="52"/>
      <c r="J52" s="52"/>
      <c r="K52" s="52"/>
      <c r="L52" s="52"/>
      <c r="M52" s="52"/>
      <c r="N52" s="22"/>
    </row>
    <row r="53" spans="1:14" s="41" customFormat="1" ht="15.75" customHeight="1">
      <c r="A53" s="50"/>
      <c r="B53" s="171"/>
      <c r="C53" s="52"/>
      <c r="D53" s="52"/>
      <c r="E53" s="52"/>
      <c r="F53" s="1"/>
      <c r="G53" s="202"/>
      <c r="H53" s="52"/>
      <c r="I53" s="52"/>
      <c r="J53" s="52"/>
      <c r="K53" s="52"/>
      <c r="L53" s="52"/>
      <c r="M53" s="52"/>
      <c r="N53" s="22"/>
    </row>
    <row r="54" spans="1:14" s="41" customFormat="1" ht="57">
      <c r="A54" s="50">
        <v>5</v>
      </c>
      <c r="B54" s="192" t="s">
        <v>52</v>
      </c>
      <c r="C54" s="356">
        <v>18544</v>
      </c>
      <c r="D54" s="356">
        <f>C54</f>
        <v>18544</v>
      </c>
      <c r="E54" s="356">
        <v>1</v>
      </c>
      <c r="F54" s="2">
        <f>D54-E54</f>
        <v>18543</v>
      </c>
      <c r="G54" s="58">
        <f>SUM(H54:M54)</f>
        <v>4924</v>
      </c>
      <c r="H54" s="51">
        <v>4924</v>
      </c>
      <c r="I54" s="51"/>
      <c r="J54" s="51">
        <v>0</v>
      </c>
      <c r="K54" s="51"/>
      <c r="L54" s="51">
        <v>0</v>
      </c>
      <c r="M54" s="51">
        <v>0</v>
      </c>
      <c r="N54" s="22" t="s">
        <v>45</v>
      </c>
    </row>
    <row r="55" spans="1:14" s="41" customFormat="1" ht="15.75" customHeight="1">
      <c r="A55" s="50"/>
      <c r="B55" s="161" t="s">
        <v>53</v>
      </c>
      <c r="C55" s="51">
        <v>10300</v>
      </c>
      <c r="D55" s="51">
        <f>C55</f>
        <v>10300</v>
      </c>
      <c r="E55" s="51">
        <v>0</v>
      </c>
      <c r="F55" s="2">
        <f>D55-E55</f>
        <v>10300</v>
      </c>
      <c r="G55" s="58">
        <f>SUM(H55:M55)</f>
        <v>2735</v>
      </c>
      <c r="H55" s="51">
        <v>2735</v>
      </c>
      <c r="I55" s="51"/>
      <c r="J55" s="51">
        <v>0</v>
      </c>
      <c r="K55" s="51"/>
      <c r="L55" s="51">
        <v>0</v>
      </c>
      <c r="M55" s="51">
        <v>0</v>
      </c>
      <c r="N55" s="22"/>
    </row>
    <row r="56" spans="1:14" s="41" customFormat="1" ht="15.75" customHeight="1">
      <c r="A56" s="50"/>
      <c r="B56" s="32"/>
      <c r="C56" s="52"/>
      <c r="D56" s="52"/>
      <c r="E56" s="52"/>
      <c r="F56" s="1"/>
      <c r="G56" s="202"/>
      <c r="H56" s="52"/>
      <c r="I56" s="52"/>
      <c r="J56" s="52"/>
      <c r="K56" s="52"/>
      <c r="L56" s="52"/>
      <c r="M56" s="52"/>
      <c r="N56" s="22"/>
    </row>
    <row r="57" spans="1:14" s="41" customFormat="1" ht="15.75" customHeight="1">
      <c r="A57" s="50"/>
      <c r="B57" s="32"/>
      <c r="C57" s="52"/>
      <c r="D57" s="52"/>
      <c r="E57" s="52"/>
      <c r="F57" s="1"/>
      <c r="G57" s="202"/>
      <c r="H57" s="52"/>
      <c r="I57" s="52"/>
      <c r="J57" s="52"/>
      <c r="K57" s="52"/>
      <c r="L57" s="52"/>
      <c r="M57" s="52"/>
      <c r="N57" s="22"/>
    </row>
    <row r="58" spans="1:14" s="41" customFormat="1" ht="57">
      <c r="A58" s="50">
        <v>6</v>
      </c>
      <c r="B58" s="192" t="s">
        <v>54</v>
      </c>
      <c r="C58" s="356">
        <v>16716</v>
      </c>
      <c r="D58" s="356">
        <f>C58</f>
        <v>16716</v>
      </c>
      <c r="E58" s="356">
        <v>5</v>
      </c>
      <c r="F58" s="2">
        <f>D58-E58</f>
        <v>16711</v>
      </c>
      <c r="G58" s="58">
        <f>SUM(H58:M58)</f>
        <v>5905</v>
      </c>
      <c r="H58" s="51">
        <v>5538</v>
      </c>
      <c r="I58" s="51"/>
      <c r="J58" s="51">
        <v>0</v>
      </c>
      <c r="K58" s="51"/>
      <c r="L58" s="51">
        <v>367</v>
      </c>
      <c r="M58" s="51">
        <v>0</v>
      </c>
      <c r="N58" s="22" t="s">
        <v>45</v>
      </c>
    </row>
    <row r="59" spans="1:14" s="41" customFormat="1" ht="15.75" customHeight="1">
      <c r="A59" s="50"/>
      <c r="B59" s="161" t="s">
        <v>55</v>
      </c>
      <c r="C59" s="51">
        <v>13287</v>
      </c>
      <c r="D59" s="51">
        <f>C59</f>
        <v>13287</v>
      </c>
      <c r="E59" s="51">
        <v>0</v>
      </c>
      <c r="F59" s="2">
        <f>D59-E59</f>
        <v>13287</v>
      </c>
      <c r="G59" s="58">
        <f>SUM(H59:M59)</f>
        <v>4694</v>
      </c>
      <c r="H59" s="51">
        <v>4402</v>
      </c>
      <c r="I59" s="51"/>
      <c r="J59" s="51">
        <v>0</v>
      </c>
      <c r="K59" s="51"/>
      <c r="L59" s="51">
        <v>292</v>
      </c>
      <c r="M59" s="51">
        <v>0</v>
      </c>
      <c r="N59" s="22"/>
    </row>
    <row r="60" spans="1:14" s="41" customFormat="1" ht="12.75" customHeight="1">
      <c r="A60" s="50"/>
      <c r="B60" s="32"/>
      <c r="C60" s="52"/>
      <c r="D60" s="52"/>
      <c r="E60" s="52"/>
      <c r="F60" s="1"/>
      <c r="G60" s="202"/>
      <c r="H60" s="52"/>
      <c r="I60" s="52"/>
      <c r="J60" s="52"/>
      <c r="K60" s="52"/>
      <c r="L60" s="52"/>
      <c r="M60" s="52"/>
      <c r="N60" s="22"/>
    </row>
    <row r="61" spans="1:14" s="41" customFormat="1" ht="12.75" customHeight="1">
      <c r="A61" s="50"/>
      <c r="B61" s="32"/>
      <c r="C61" s="52"/>
      <c r="D61" s="52"/>
      <c r="E61" s="52"/>
      <c r="F61" s="1"/>
      <c r="G61" s="202"/>
      <c r="H61" s="52"/>
      <c r="I61" s="52"/>
      <c r="J61" s="52"/>
      <c r="K61" s="52"/>
      <c r="L61" s="52"/>
      <c r="M61" s="52"/>
      <c r="N61" s="22"/>
    </row>
    <row r="62" spans="1:14" s="41" customFormat="1" ht="57">
      <c r="A62" s="50">
        <v>7</v>
      </c>
      <c r="B62" s="192" t="s">
        <v>56</v>
      </c>
      <c r="C62" s="356">
        <v>8917</v>
      </c>
      <c r="D62" s="356">
        <f>C62</f>
        <v>8917</v>
      </c>
      <c r="E62" s="356">
        <v>0</v>
      </c>
      <c r="F62" s="2">
        <f>D62-E62</f>
        <v>8917</v>
      </c>
      <c r="G62" s="58">
        <f>SUM(H62:M62)</f>
        <v>1967</v>
      </c>
      <c r="H62" s="51">
        <v>1847</v>
      </c>
      <c r="I62" s="51"/>
      <c r="J62" s="51">
        <v>0</v>
      </c>
      <c r="K62" s="51"/>
      <c r="L62" s="51">
        <v>120</v>
      </c>
      <c r="M62" s="51">
        <v>0</v>
      </c>
      <c r="N62" s="22" t="s">
        <v>45</v>
      </c>
    </row>
    <row r="63" spans="1:14" s="41" customFormat="1" ht="15.75" customHeight="1">
      <c r="A63" s="50"/>
      <c r="B63" s="161" t="s">
        <v>57</v>
      </c>
      <c r="C63" s="51">
        <v>4425</v>
      </c>
      <c r="D63" s="51">
        <f>C63</f>
        <v>4425</v>
      </c>
      <c r="E63" s="51">
        <v>0</v>
      </c>
      <c r="F63" s="2">
        <f>D63-E63</f>
        <v>4425</v>
      </c>
      <c r="G63" s="58">
        <f>SUM(H63:M63)</f>
        <v>977</v>
      </c>
      <c r="H63" s="51">
        <v>917</v>
      </c>
      <c r="I63" s="51"/>
      <c r="J63" s="51">
        <v>0</v>
      </c>
      <c r="K63" s="51"/>
      <c r="L63" s="51">
        <v>60</v>
      </c>
      <c r="M63" s="51">
        <v>0</v>
      </c>
      <c r="N63" s="22"/>
    </row>
    <row r="64" spans="1:14" s="41" customFormat="1" ht="9.75" customHeight="1">
      <c r="A64" s="50"/>
      <c r="B64" s="32"/>
      <c r="C64" s="52"/>
      <c r="D64" s="52"/>
      <c r="E64" s="52"/>
      <c r="F64" s="1"/>
      <c r="G64" s="202"/>
      <c r="H64" s="52"/>
      <c r="I64" s="52"/>
      <c r="J64" s="52"/>
      <c r="K64" s="52"/>
      <c r="L64" s="52"/>
      <c r="M64" s="52"/>
      <c r="N64" s="22"/>
    </row>
    <row r="65" spans="1:14" s="41" customFormat="1" ht="9.75" customHeight="1">
      <c r="A65" s="50"/>
      <c r="B65" s="32"/>
      <c r="C65" s="52"/>
      <c r="D65" s="52"/>
      <c r="E65" s="52"/>
      <c r="F65" s="1"/>
      <c r="G65" s="202"/>
      <c r="H65" s="52"/>
      <c r="I65" s="52"/>
      <c r="J65" s="52"/>
      <c r="K65" s="52"/>
      <c r="L65" s="52"/>
      <c r="M65" s="52"/>
      <c r="N65" s="22"/>
    </row>
    <row r="66" spans="1:14" s="41" customFormat="1" ht="57">
      <c r="A66" s="50">
        <v>8</v>
      </c>
      <c r="B66" s="192" t="s">
        <v>58</v>
      </c>
      <c r="C66" s="356">
        <v>25662</v>
      </c>
      <c r="D66" s="356">
        <f>C66</f>
        <v>25662</v>
      </c>
      <c r="E66" s="356">
        <v>5</v>
      </c>
      <c r="F66" s="2">
        <f>D66-E66</f>
        <v>25657</v>
      </c>
      <c r="G66" s="58">
        <f>SUM(H66:M66)</f>
        <v>8911</v>
      </c>
      <c r="H66" s="51">
        <v>8180</v>
      </c>
      <c r="I66" s="51"/>
      <c r="J66" s="51">
        <v>0</v>
      </c>
      <c r="K66" s="51"/>
      <c r="L66" s="51">
        <v>731</v>
      </c>
      <c r="M66" s="51">
        <v>0</v>
      </c>
      <c r="N66" s="22" t="s">
        <v>45</v>
      </c>
    </row>
    <row r="67" spans="1:14" s="41" customFormat="1" ht="15.75" customHeight="1">
      <c r="A67" s="50"/>
      <c r="B67" s="161" t="s">
        <v>59</v>
      </c>
      <c r="C67" s="51">
        <v>14011</v>
      </c>
      <c r="D67" s="51">
        <f>C67</f>
        <v>14011</v>
      </c>
      <c r="E67" s="51">
        <v>0</v>
      </c>
      <c r="F67" s="2">
        <f>D67-E67</f>
        <v>14011</v>
      </c>
      <c r="G67" s="58">
        <f>SUM(H67:M67)</f>
        <v>4865</v>
      </c>
      <c r="H67" s="51">
        <v>4466</v>
      </c>
      <c r="I67" s="51"/>
      <c r="J67" s="51">
        <v>0</v>
      </c>
      <c r="K67" s="51"/>
      <c r="L67" s="51">
        <v>399</v>
      </c>
      <c r="M67" s="51">
        <v>0</v>
      </c>
      <c r="N67" s="22"/>
    </row>
    <row r="68" spans="1:14" s="41" customFormat="1" ht="12" customHeight="1">
      <c r="A68" s="53"/>
      <c r="B68" s="162"/>
      <c r="C68" s="1"/>
      <c r="D68" s="1"/>
      <c r="E68" s="1"/>
      <c r="F68" s="1"/>
      <c r="G68" s="202"/>
      <c r="H68" s="1"/>
      <c r="I68" s="1"/>
      <c r="J68" s="1"/>
      <c r="K68" s="1"/>
      <c r="L68" s="1"/>
      <c r="M68" s="14"/>
      <c r="N68" s="24"/>
    </row>
    <row r="69" spans="1:14" s="41" customFormat="1" ht="12" customHeight="1">
      <c r="A69" s="18"/>
      <c r="B69" s="32"/>
      <c r="C69" s="14"/>
      <c r="D69" s="14"/>
      <c r="E69" s="14"/>
      <c r="F69" s="14"/>
      <c r="G69" s="14"/>
      <c r="H69" s="14"/>
      <c r="I69" s="14"/>
      <c r="J69" s="14"/>
      <c r="K69" s="14"/>
      <c r="L69" s="14"/>
      <c r="M69" s="14"/>
      <c r="N69" s="22"/>
    </row>
    <row r="70" spans="1:14" s="41" customFormat="1" ht="21" customHeight="1">
      <c r="A70" s="18" t="s">
        <v>37</v>
      </c>
      <c r="B70" s="34" t="s">
        <v>60</v>
      </c>
      <c r="C70" s="33">
        <f>C73+C74+C75</f>
        <v>17853</v>
      </c>
      <c r="D70" s="33">
        <f t="shared" ref="D70:L70" si="11">D73+D74+D75</f>
        <v>17853</v>
      </c>
      <c r="E70" s="33">
        <f t="shared" si="11"/>
        <v>6851</v>
      </c>
      <c r="F70" s="33">
        <f t="shared" si="11"/>
        <v>11002</v>
      </c>
      <c r="G70" s="33">
        <f t="shared" si="11"/>
        <v>11002</v>
      </c>
      <c r="H70" s="33">
        <f t="shared" si="11"/>
        <v>1422</v>
      </c>
      <c r="I70" s="33">
        <f t="shared" si="11"/>
        <v>0</v>
      </c>
      <c r="J70" s="33">
        <f t="shared" si="11"/>
        <v>0</v>
      </c>
      <c r="K70" s="33">
        <f t="shared" si="11"/>
        <v>0</v>
      </c>
      <c r="L70" s="33">
        <f t="shared" si="11"/>
        <v>9580</v>
      </c>
      <c r="M70" s="33">
        <f>M73+M74+M75</f>
        <v>0</v>
      </c>
      <c r="N70" s="22"/>
    </row>
    <row r="71" spans="1:14" s="41" customFormat="1" ht="21" customHeight="1">
      <c r="A71" s="18"/>
      <c r="B71" s="35" t="s">
        <v>61</v>
      </c>
      <c r="C71" s="14"/>
      <c r="D71" s="14"/>
      <c r="E71" s="14"/>
      <c r="F71" s="14"/>
      <c r="G71" s="14"/>
      <c r="H71" s="14"/>
      <c r="I71" s="14"/>
      <c r="J71" s="14"/>
      <c r="K71" s="14"/>
      <c r="L71" s="14"/>
      <c r="M71" s="14"/>
      <c r="N71" s="22"/>
    </row>
    <row r="72" spans="1:14" s="41" customFormat="1" ht="25.5" customHeight="1">
      <c r="A72" s="12"/>
      <c r="B72" s="16" t="s">
        <v>42</v>
      </c>
      <c r="C72" s="14"/>
      <c r="D72" s="5"/>
      <c r="E72" s="5"/>
      <c r="F72" s="5"/>
      <c r="G72" s="5"/>
      <c r="H72" s="5"/>
      <c r="I72" s="5"/>
      <c r="J72" s="5"/>
      <c r="K72" s="5"/>
      <c r="L72" s="14"/>
      <c r="M72" s="14"/>
      <c r="N72" s="22"/>
    </row>
    <row r="73" spans="1:14" s="41" customFormat="1" ht="16.5" customHeight="1">
      <c r="A73" s="43"/>
      <c r="B73" s="23" t="s">
        <v>62</v>
      </c>
      <c r="C73" s="14">
        <f>'A3 - STUDII SI PROIECTE 2024'!D43</f>
        <v>16596</v>
      </c>
      <c r="D73" s="14">
        <f>'A3 - STUDII SI PROIECTE 2024'!E43</f>
        <v>16596</v>
      </c>
      <c r="E73" s="14">
        <f>'A3 - STUDII SI PROIECTE 2024'!F43</f>
        <v>6851</v>
      </c>
      <c r="F73" s="14">
        <f>'A3 - STUDII SI PROIECTE 2024'!G43</f>
        <v>9745</v>
      </c>
      <c r="G73" s="14">
        <f>'A3 - STUDII SI PROIECTE 2024'!H43</f>
        <v>9745</v>
      </c>
      <c r="H73" s="14">
        <f>'A3 - STUDII SI PROIECTE 2024'!I43</f>
        <v>1396</v>
      </c>
      <c r="I73" s="14">
        <f>'A3 - STUDII SI PROIECTE 2024'!J43</f>
        <v>0</v>
      </c>
      <c r="J73" s="14">
        <f>'A3 - STUDII SI PROIECTE 2024'!K43</f>
        <v>0</v>
      </c>
      <c r="K73" s="14">
        <f>'A3 - STUDII SI PROIECTE 2024'!L43</f>
        <v>0</v>
      </c>
      <c r="L73" s="14">
        <f>'A3 - STUDII SI PROIECTE 2024'!M43</f>
        <v>8349</v>
      </c>
      <c r="M73" s="14">
        <f>'A3 - STUDII SI PROIECTE 2024'!N43</f>
        <v>0</v>
      </c>
      <c r="N73" s="22"/>
    </row>
    <row r="74" spans="1:14" s="41" customFormat="1" ht="16.5" customHeight="1">
      <c r="A74" s="44"/>
      <c r="B74" s="137" t="s">
        <v>63</v>
      </c>
      <c r="C74" s="45">
        <f>'A3 - DOTARI 2024'!D24</f>
        <v>1257</v>
      </c>
      <c r="D74" s="45">
        <f>'A3 - DOTARI 2024'!E24</f>
        <v>1257</v>
      </c>
      <c r="E74" s="45">
        <f>'A3 - DOTARI 2024'!F24</f>
        <v>0</v>
      </c>
      <c r="F74" s="45">
        <f>'A3 - DOTARI 2024'!G24</f>
        <v>1257</v>
      </c>
      <c r="G74" s="45">
        <f>'A3 - DOTARI 2024'!H24</f>
        <v>1257</v>
      </c>
      <c r="H74" s="45">
        <f>'A3 - DOTARI 2024'!I24</f>
        <v>26</v>
      </c>
      <c r="I74" s="45">
        <f>'A3 - DOTARI 2024'!J24</f>
        <v>0</v>
      </c>
      <c r="J74" s="45">
        <f>'A3 - DOTARI 2024'!K24</f>
        <v>0</v>
      </c>
      <c r="K74" s="45">
        <f>'A3 - DOTARI 2024'!L24</f>
        <v>0</v>
      </c>
      <c r="L74" s="45">
        <f>'A3 - DOTARI 2024'!M24</f>
        <v>1231</v>
      </c>
      <c r="M74" s="45">
        <f>'A3 - DOTARI 2024'!N24</f>
        <v>0</v>
      </c>
      <c r="N74" s="22"/>
    </row>
    <row r="75" spans="1:14" s="41" customFormat="1" ht="16.5" customHeight="1">
      <c r="A75" s="44"/>
      <c r="B75" s="137" t="s">
        <v>64</v>
      </c>
      <c r="C75" s="45">
        <v>0</v>
      </c>
      <c r="D75" s="45">
        <v>0</v>
      </c>
      <c r="E75" s="45">
        <v>0</v>
      </c>
      <c r="F75" s="45">
        <v>0</v>
      </c>
      <c r="G75" s="45">
        <v>0</v>
      </c>
      <c r="H75" s="45">
        <v>0</v>
      </c>
      <c r="I75" s="45">
        <v>0</v>
      </c>
      <c r="J75" s="45">
        <v>0</v>
      </c>
      <c r="K75" s="45">
        <v>0</v>
      </c>
      <c r="L75" s="45">
        <v>0</v>
      </c>
      <c r="M75" s="45">
        <v>0</v>
      </c>
      <c r="N75" s="22"/>
    </row>
    <row r="76" spans="1:14" s="41" customFormat="1" ht="16.5" customHeight="1">
      <c r="A76" s="44"/>
      <c r="B76" s="137"/>
      <c r="C76" s="45"/>
      <c r="D76" s="45"/>
      <c r="E76" s="45"/>
      <c r="F76" s="45"/>
      <c r="G76" s="237"/>
      <c r="H76" s="45"/>
      <c r="I76" s="45"/>
      <c r="J76" s="45"/>
      <c r="K76" s="45"/>
      <c r="L76" s="45"/>
      <c r="M76" s="45"/>
      <c r="N76" s="22"/>
    </row>
    <row r="77" spans="1:14" s="41" customFormat="1" ht="16.5" customHeight="1">
      <c r="A77" s="44"/>
      <c r="B77" s="137"/>
      <c r="C77" s="45"/>
      <c r="D77" s="45"/>
      <c r="E77" s="45"/>
      <c r="F77" s="45"/>
      <c r="G77" s="237"/>
      <c r="H77" s="45"/>
      <c r="I77" s="45"/>
      <c r="J77" s="45"/>
      <c r="K77" s="45"/>
      <c r="L77" s="45"/>
      <c r="M77" s="45"/>
      <c r="N77" s="22"/>
    </row>
    <row r="78" spans="1:14" s="41" customFormat="1" ht="16.5" customHeight="1">
      <c r="A78" s="44"/>
      <c r="B78" s="137"/>
      <c r="C78" s="45"/>
      <c r="D78" s="45"/>
      <c r="E78" s="45"/>
      <c r="F78" s="45"/>
      <c r="G78" s="237"/>
      <c r="H78" s="45"/>
      <c r="I78" s="45"/>
      <c r="J78" s="45"/>
      <c r="K78" s="45"/>
      <c r="L78" s="45"/>
      <c r="M78" s="45"/>
      <c r="N78" s="22"/>
    </row>
    <row r="79" spans="1:14" s="41" customFormat="1" ht="16.5" customHeight="1">
      <c r="A79" s="44"/>
      <c r="B79" s="137"/>
      <c r="C79" s="45"/>
      <c r="D79" s="45"/>
      <c r="E79" s="45"/>
      <c r="F79" s="45"/>
      <c r="G79" s="237"/>
      <c r="H79" s="45"/>
      <c r="I79" s="45"/>
      <c r="J79" s="45"/>
      <c r="K79" s="45"/>
      <c r="L79" s="45"/>
      <c r="M79" s="45"/>
      <c r="N79" s="22"/>
    </row>
    <row r="80" spans="1:14" s="41" customFormat="1" ht="16.5" customHeight="1">
      <c r="A80" s="44"/>
      <c r="B80" s="137"/>
      <c r="C80" s="45"/>
      <c r="D80" s="45"/>
      <c r="E80" s="45"/>
      <c r="F80" s="45"/>
      <c r="G80" s="237"/>
      <c r="H80" s="45"/>
      <c r="I80" s="45"/>
      <c r="J80" s="45"/>
      <c r="K80" s="45"/>
      <c r="L80" s="45"/>
      <c r="M80" s="45"/>
      <c r="N80" s="22"/>
    </row>
    <row r="81" spans="1:14" s="41" customFormat="1" ht="16.5" customHeight="1">
      <c r="A81" s="44"/>
      <c r="B81" s="137"/>
      <c r="C81" s="45"/>
      <c r="D81" s="45"/>
      <c r="E81" s="45"/>
      <c r="F81" s="45"/>
      <c r="G81" s="237"/>
      <c r="H81" s="45"/>
      <c r="I81" s="45"/>
      <c r="J81" s="45"/>
      <c r="K81" s="45"/>
      <c r="L81" s="45"/>
      <c r="M81" s="45"/>
      <c r="N81" s="22"/>
    </row>
    <row r="82" spans="1:14" s="41" customFormat="1" ht="12" customHeight="1">
      <c r="A82" s="44"/>
      <c r="B82" s="137"/>
      <c r="C82" s="45"/>
      <c r="D82" s="45"/>
      <c r="E82" s="45"/>
      <c r="F82" s="45"/>
      <c r="G82" s="237"/>
      <c r="H82" s="45"/>
      <c r="I82" s="45"/>
      <c r="J82" s="45"/>
      <c r="K82" s="45"/>
      <c r="L82" s="45"/>
      <c r="M82" s="45"/>
      <c r="N82" s="22"/>
    </row>
    <row r="83" spans="1:14" s="7" customFormat="1" ht="30" customHeight="1">
      <c r="A83" s="12"/>
      <c r="B83" s="253" t="s">
        <v>65</v>
      </c>
      <c r="C83" s="13"/>
      <c r="D83" s="14"/>
      <c r="E83" s="14"/>
      <c r="F83" s="14"/>
      <c r="G83" s="46"/>
      <c r="H83" s="46"/>
      <c r="I83" s="46"/>
      <c r="J83" s="46"/>
      <c r="K83" s="46"/>
      <c r="L83" s="46"/>
      <c r="M83" s="46" t="s">
        <v>41</v>
      </c>
      <c r="N83" s="22"/>
    </row>
    <row r="84" spans="1:14" s="7" customFormat="1" ht="22.5" customHeight="1">
      <c r="A84" s="15"/>
      <c r="B84" s="16" t="s">
        <v>42</v>
      </c>
      <c r="C84" s="17">
        <f>C87+C90+C93</f>
        <v>467</v>
      </c>
      <c r="D84" s="17">
        <f t="shared" ref="D84:M84" si="12">D87+D90+D93</f>
        <v>467</v>
      </c>
      <c r="E84" s="17">
        <f t="shared" si="12"/>
        <v>92</v>
      </c>
      <c r="F84" s="17">
        <f t="shared" si="12"/>
        <v>375</v>
      </c>
      <c r="G84" s="17">
        <f t="shared" si="12"/>
        <v>375</v>
      </c>
      <c r="H84" s="17">
        <f t="shared" si="12"/>
        <v>0</v>
      </c>
      <c r="I84" s="17">
        <f t="shared" si="12"/>
        <v>0</v>
      </c>
      <c r="J84" s="17">
        <f t="shared" si="12"/>
        <v>0</v>
      </c>
      <c r="K84" s="17">
        <f t="shared" si="12"/>
        <v>0</v>
      </c>
      <c r="L84" s="17">
        <f t="shared" si="12"/>
        <v>375</v>
      </c>
      <c r="M84" s="17">
        <f t="shared" si="12"/>
        <v>0</v>
      </c>
      <c r="N84" s="22"/>
    </row>
    <row r="85" spans="1:14" s="7" customFormat="1" ht="22.5" customHeight="1">
      <c r="A85" s="18"/>
      <c r="B85" s="16"/>
      <c r="C85" s="17">
        <f>C88+C91+C94</f>
        <v>0</v>
      </c>
      <c r="D85" s="17">
        <f t="shared" ref="D85:M85" si="13">D88+D91+D94</f>
        <v>0</v>
      </c>
      <c r="E85" s="17">
        <f t="shared" si="13"/>
        <v>0</v>
      </c>
      <c r="F85" s="17">
        <f t="shared" si="13"/>
        <v>0</v>
      </c>
      <c r="G85" s="17">
        <f t="shared" si="13"/>
        <v>0</v>
      </c>
      <c r="H85" s="17">
        <f t="shared" si="13"/>
        <v>0</v>
      </c>
      <c r="I85" s="17">
        <f t="shared" si="13"/>
        <v>0</v>
      </c>
      <c r="J85" s="17">
        <f t="shared" si="13"/>
        <v>0</v>
      </c>
      <c r="K85" s="17">
        <f t="shared" si="13"/>
        <v>0</v>
      </c>
      <c r="L85" s="17">
        <f t="shared" si="13"/>
        <v>0</v>
      </c>
      <c r="M85" s="17">
        <f t="shared" si="13"/>
        <v>0</v>
      </c>
      <c r="N85" s="22"/>
    </row>
    <row r="86" spans="1:14" s="7" customFormat="1" ht="22.5" customHeight="1">
      <c r="A86" s="18"/>
      <c r="B86" s="16"/>
      <c r="C86" s="46"/>
      <c r="D86" s="46"/>
      <c r="E86" s="46"/>
      <c r="F86" s="46"/>
      <c r="G86" s="46"/>
      <c r="H86" s="46"/>
      <c r="I86" s="46"/>
      <c r="J86" s="46"/>
      <c r="K86" s="46"/>
      <c r="L86" s="46"/>
      <c r="M86" s="46"/>
      <c r="N86" s="22"/>
    </row>
    <row r="87" spans="1:14" s="7" customFormat="1" ht="22.5" customHeight="1">
      <c r="A87" s="18" t="s">
        <v>32</v>
      </c>
      <c r="B87" s="34" t="s">
        <v>33</v>
      </c>
      <c r="C87" s="2">
        <v>0</v>
      </c>
      <c r="D87" s="2">
        <v>0</v>
      </c>
      <c r="E87" s="2">
        <v>0</v>
      </c>
      <c r="F87" s="2">
        <f>D87-E87</f>
        <v>0</v>
      </c>
      <c r="G87" s="17">
        <f>SUM(H87:M87)</f>
        <v>0</v>
      </c>
      <c r="H87" s="2">
        <v>0</v>
      </c>
      <c r="I87" s="2">
        <v>0</v>
      </c>
      <c r="J87" s="2">
        <v>0</v>
      </c>
      <c r="K87" s="2">
        <v>0</v>
      </c>
      <c r="L87" s="2">
        <v>0</v>
      </c>
      <c r="M87" s="2">
        <v>0</v>
      </c>
      <c r="N87" s="22"/>
    </row>
    <row r="88" spans="1:14" s="7" customFormat="1" ht="22.5" customHeight="1">
      <c r="A88" s="18"/>
      <c r="B88" s="35" t="s">
        <v>34</v>
      </c>
      <c r="C88" s="2">
        <v>0</v>
      </c>
      <c r="D88" s="2">
        <v>0</v>
      </c>
      <c r="E88" s="2">
        <v>0</v>
      </c>
      <c r="F88" s="2">
        <f>D88-E88</f>
        <v>0</v>
      </c>
      <c r="G88" s="17">
        <f>SUM(H88:M88)</f>
        <v>0</v>
      </c>
      <c r="H88" s="2">
        <v>0</v>
      </c>
      <c r="I88" s="2">
        <v>0</v>
      </c>
      <c r="J88" s="2">
        <v>0</v>
      </c>
      <c r="K88" s="2">
        <v>0</v>
      </c>
      <c r="L88" s="2">
        <v>0</v>
      </c>
      <c r="M88" s="2">
        <v>0</v>
      </c>
      <c r="N88" s="22"/>
    </row>
    <row r="89" spans="1:14" s="7" customFormat="1" ht="22.5" customHeight="1">
      <c r="A89" s="44"/>
      <c r="B89" s="137"/>
      <c r="C89" s="47"/>
      <c r="D89" s="47"/>
      <c r="E89" s="47"/>
      <c r="F89" s="47"/>
      <c r="G89" s="47"/>
      <c r="H89" s="47"/>
      <c r="I89" s="47"/>
      <c r="J89" s="47"/>
      <c r="K89" s="47"/>
      <c r="L89" s="47"/>
      <c r="M89" s="47"/>
      <c r="N89" s="22"/>
    </row>
    <row r="90" spans="1:14" s="7" customFormat="1" ht="22.5" customHeight="1">
      <c r="A90" s="18" t="s">
        <v>35</v>
      </c>
      <c r="B90" s="34" t="s">
        <v>43</v>
      </c>
      <c r="C90" s="2">
        <v>0</v>
      </c>
      <c r="D90" s="2">
        <v>0</v>
      </c>
      <c r="E90" s="2">
        <v>0</v>
      </c>
      <c r="F90" s="2">
        <f>D90-E90</f>
        <v>0</v>
      </c>
      <c r="G90" s="17">
        <f>SUM(H90:M90)</f>
        <v>0</v>
      </c>
      <c r="H90" s="2">
        <v>0</v>
      </c>
      <c r="I90" s="2">
        <v>0</v>
      </c>
      <c r="J90" s="2">
        <v>0</v>
      </c>
      <c r="K90" s="2">
        <v>0</v>
      </c>
      <c r="L90" s="2">
        <v>0</v>
      </c>
      <c r="M90" s="2">
        <v>0</v>
      </c>
      <c r="N90" s="22"/>
    </row>
    <row r="91" spans="1:14" s="7" customFormat="1" ht="22.5" customHeight="1">
      <c r="A91" s="18"/>
      <c r="B91" s="35" t="s">
        <v>36</v>
      </c>
      <c r="C91" s="2">
        <v>0</v>
      </c>
      <c r="D91" s="2">
        <v>0</v>
      </c>
      <c r="E91" s="2">
        <v>0</v>
      </c>
      <c r="F91" s="2">
        <f>D91-E91</f>
        <v>0</v>
      </c>
      <c r="G91" s="17">
        <f>SUM(H91:M91)</f>
        <v>0</v>
      </c>
      <c r="H91" s="2">
        <v>0</v>
      </c>
      <c r="I91" s="2">
        <v>0</v>
      </c>
      <c r="J91" s="2">
        <v>0</v>
      </c>
      <c r="K91" s="2">
        <v>0</v>
      </c>
      <c r="L91" s="2">
        <v>0</v>
      </c>
      <c r="M91" s="2">
        <v>0</v>
      </c>
      <c r="N91" s="22"/>
    </row>
    <row r="92" spans="1:14" s="7" customFormat="1" ht="22.5" customHeight="1">
      <c r="A92" s="18"/>
      <c r="B92" s="32"/>
      <c r="C92" s="1"/>
      <c r="D92" s="1"/>
      <c r="E92" s="1"/>
      <c r="F92" s="1"/>
      <c r="G92" s="1"/>
      <c r="H92" s="1"/>
      <c r="I92" s="1"/>
      <c r="J92" s="1"/>
      <c r="K92" s="1"/>
      <c r="L92" s="1"/>
      <c r="M92" s="1"/>
      <c r="N92" s="22"/>
    </row>
    <row r="93" spans="1:14" s="7" customFormat="1" ht="22.5" customHeight="1">
      <c r="A93" s="18" t="s">
        <v>37</v>
      </c>
      <c r="B93" s="34" t="s">
        <v>60</v>
      </c>
      <c r="C93" s="2">
        <f>C97+C98+C96</f>
        <v>467</v>
      </c>
      <c r="D93" s="2">
        <f t="shared" ref="D93:M93" si="14">D97+D98+D96</f>
        <v>467</v>
      </c>
      <c r="E93" s="2">
        <f t="shared" si="14"/>
        <v>92</v>
      </c>
      <c r="F93" s="2">
        <f t="shared" si="14"/>
        <v>375</v>
      </c>
      <c r="G93" s="17">
        <f t="shared" si="14"/>
        <v>375</v>
      </c>
      <c r="H93" s="2">
        <f t="shared" si="14"/>
        <v>0</v>
      </c>
      <c r="I93" s="2">
        <f t="shared" si="14"/>
        <v>0</v>
      </c>
      <c r="J93" s="2">
        <f t="shared" si="14"/>
        <v>0</v>
      </c>
      <c r="K93" s="2">
        <f t="shared" si="14"/>
        <v>0</v>
      </c>
      <c r="L93" s="2">
        <f t="shared" si="14"/>
        <v>375</v>
      </c>
      <c r="M93" s="2">
        <f t="shared" si="14"/>
        <v>0</v>
      </c>
      <c r="N93" s="22"/>
    </row>
    <row r="94" spans="1:14" s="7" customFormat="1" ht="22.5" customHeight="1">
      <c r="A94" s="18"/>
      <c r="B94" s="35" t="s">
        <v>61</v>
      </c>
      <c r="C94" s="1"/>
      <c r="D94" s="1"/>
      <c r="E94" s="1"/>
      <c r="F94" s="1"/>
      <c r="G94" s="1"/>
      <c r="H94" s="1"/>
      <c r="I94" s="1"/>
      <c r="J94" s="1"/>
      <c r="K94" s="1"/>
      <c r="L94" s="1"/>
      <c r="M94" s="1"/>
      <c r="N94" s="22"/>
    </row>
    <row r="95" spans="1:14" s="7" customFormat="1" ht="22.5" customHeight="1">
      <c r="A95" s="12"/>
      <c r="B95" s="16" t="s">
        <v>42</v>
      </c>
      <c r="C95" s="1"/>
      <c r="D95" s="1"/>
      <c r="E95" s="1"/>
      <c r="F95" s="1"/>
      <c r="G95" s="1"/>
      <c r="H95" s="1"/>
      <c r="I95" s="1"/>
      <c r="J95" s="1"/>
      <c r="K95" s="1"/>
      <c r="L95" s="1"/>
      <c r="M95" s="1"/>
      <c r="N95" s="22"/>
    </row>
    <row r="96" spans="1:14" s="7" customFormat="1" ht="22.5" customHeight="1">
      <c r="A96" s="12"/>
      <c r="B96" s="23" t="s">
        <v>62</v>
      </c>
      <c r="C96" s="14">
        <v>0</v>
      </c>
      <c r="D96" s="14">
        <v>0</v>
      </c>
      <c r="E96" s="14">
        <v>0</v>
      </c>
      <c r="F96" s="14">
        <v>0</v>
      </c>
      <c r="G96" s="236">
        <v>0</v>
      </c>
      <c r="H96" s="14">
        <v>0</v>
      </c>
      <c r="I96" s="14">
        <v>0</v>
      </c>
      <c r="J96" s="14">
        <v>0</v>
      </c>
      <c r="K96" s="14">
        <v>0</v>
      </c>
      <c r="L96" s="14">
        <v>0</v>
      </c>
      <c r="M96" s="14">
        <v>0</v>
      </c>
      <c r="N96" s="22"/>
    </row>
    <row r="97" spans="1:14" s="7" customFormat="1" ht="22.5" customHeight="1">
      <c r="A97" s="44"/>
      <c r="B97" s="137" t="s">
        <v>66</v>
      </c>
      <c r="C97" s="48">
        <f>'A3 - DOTARI 2024'!D35</f>
        <v>467</v>
      </c>
      <c r="D97" s="48">
        <f>'A3 - DOTARI 2024'!E35</f>
        <v>467</v>
      </c>
      <c r="E97" s="48">
        <f>'A3 - DOTARI 2024'!F35</f>
        <v>92</v>
      </c>
      <c r="F97" s="48">
        <f>'A3 - DOTARI 2024'!G35</f>
        <v>375</v>
      </c>
      <c r="G97" s="238">
        <f>'A3 - DOTARI 2024'!H35</f>
        <v>375</v>
      </c>
      <c r="H97" s="48">
        <f>'A3 - DOTARI 2024'!I35</f>
        <v>0</v>
      </c>
      <c r="I97" s="48">
        <f>'A3 - DOTARI 2024'!J35</f>
        <v>0</v>
      </c>
      <c r="J97" s="48">
        <f>'A3 - DOTARI 2024'!K35</f>
        <v>0</v>
      </c>
      <c r="K97" s="48">
        <f>'A3 - DOTARI 2024'!L35</f>
        <v>0</v>
      </c>
      <c r="L97" s="48">
        <f>'A3 - DOTARI 2024'!M35</f>
        <v>375</v>
      </c>
      <c r="M97" s="48">
        <f>'A3 - DOTARI 2024'!N35</f>
        <v>0</v>
      </c>
      <c r="N97" s="22"/>
    </row>
    <row r="98" spans="1:14" s="7" customFormat="1" ht="22.5" customHeight="1">
      <c r="A98" s="44"/>
      <c r="B98" s="137" t="s">
        <v>67</v>
      </c>
      <c r="C98" s="48">
        <v>0</v>
      </c>
      <c r="D98" s="48">
        <v>0</v>
      </c>
      <c r="E98" s="48">
        <v>0</v>
      </c>
      <c r="F98" s="48">
        <v>0</v>
      </c>
      <c r="G98" s="48">
        <v>0</v>
      </c>
      <c r="H98" s="48">
        <v>0</v>
      </c>
      <c r="I98" s="48">
        <v>0</v>
      </c>
      <c r="J98" s="48">
        <v>0</v>
      </c>
      <c r="K98" s="48">
        <v>0</v>
      </c>
      <c r="L98" s="48">
        <v>0</v>
      </c>
      <c r="M98" s="48">
        <v>0</v>
      </c>
      <c r="N98" s="22"/>
    </row>
    <row r="99" spans="1:14" s="7" customFormat="1" ht="22.5" customHeight="1">
      <c r="A99" s="44"/>
      <c r="B99" s="137"/>
      <c r="C99" s="48"/>
      <c r="D99" s="48"/>
      <c r="E99" s="48"/>
      <c r="F99" s="48"/>
      <c r="G99" s="238"/>
      <c r="H99" s="48"/>
      <c r="I99" s="48"/>
      <c r="J99" s="48"/>
      <c r="K99" s="48"/>
      <c r="L99" s="48"/>
      <c r="M99" s="48"/>
      <c r="N99" s="22"/>
    </row>
    <row r="100" spans="1:14" s="7" customFormat="1" ht="25.5" customHeight="1">
      <c r="A100" s="44"/>
      <c r="B100" s="137"/>
      <c r="C100" s="48"/>
      <c r="D100" s="48"/>
      <c r="E100" s="48"/>
      <c r="F100" s="48"/>
      <c r="G100" s="48"/>
      <c r="H100" s="48"/>
      <c r="I100" s="48"/>
      <c r="J100" s="48"/>
      <c r="K100" s="48"/>
      <c r="L100" s="48"/>
      <c r="M100" s="48"/>
      <c r="N100" s="22"/>
    </row>
    <row r="101" spans="1:14" s="7" customFormat="1" ht="18" customHeight="1">
      <c r="A101" s="44"/>
      <c r="B101" s="137"/>
      <c r="C101" s="48"/>
      <c r="D101" s="48"/>
      <c r="E101" s="48"/>
      <c r="F101" s="48"/>
      <c r="G101" s="48"/>
      <c r="H101" s="48"/>
      <c r="I101" s="48"/>
      <c r="J101" s="48"/>
      <c r="K101" s="48"/>
      <c r="L101" s="48"/>
      <c r="M101" s="48"/>
      <c r="N101" s="22"/>
    </row>
    <row r="102" spans="1:14" s="7" customFormat="1" ht="27.75" customHeight="1">
      <c r="A102" s="277"/>
      <c r="B102" s="138" t="s">
        <v>68</v>
      </c>
      <c r="C102" s="9" t="s">
        <v>69</v>
      </c>
      <c r="D102" s="9"/>
      <c r="E102" s="9"/>
      <c r="F102" s="9"/>
      <c r="G102" s="9"/>
      <c r="H102" s="9"/>
      <c r="I102" s="9"/>
      <c r="J102" s="9"/>
      <c r="K102" s="9"/>
      <c r="L102" s="104"/>
      <c r="M102" s="9" t="s">
        <v>41</v>
      </c>
      <c r="N102" s="22"/>
    </row>
    <row r="103" spans="1:14" s="7" customFormat="1" ht="25.5" customHeight="1">
      <c r="A103" s="50"/>
      <c r="B103" s="16" t="s">
        <v>42</v>
      </c>
      <c r="C103" s="58">
        <f>C106+C121+C211</f>
        <v>449055</v>
      </c>
      <c r="D103" s="58">
        <f t="shared" ref="D103:M103" si="15">D106+D121+D211</f>
        <v>465885</v>
      </c>
      <c r="E103" s="58">
        <f t="shared" si="15"/>
        <v>31125</v>
      </c>
      <c r="F103" s="58">
        <f t="shared" si="15"/>
        <v>434760</v>
      </c>
      <c r="G103" s="58">
        <f t="shared" si="15"/>
        <v>177380</v>
      </c>
      <c r="H103" s="58">
        <f t="shared" si="15"/>
        <v>154091</v>
      </c>
      <c r="I103" s="58">
        <f t="shared" si="15"/>
        <v>0</v>
      </c>
      <c r="J103" s="58">
        <f t="shared" si="15"/>
        <v>15229</v>
      </c>
      <c r="K103" s="58">
        <f t="shared" si="15"/>
        <v>0</v>
      </c>
      <c r="L103" s="58">
        <f t="shared" si="15"/>
        <v>8060</v>
      </c>
      <c r="M103" s="58">
        <f t="shared" si="15"/>
        <v>0</v>
      </c>
      <c r="N103" s="13"/>
    </row>
    <row r="104" spans="1:14" s="7" customFormat="1" ht="25.5" customHeight="1">
      <c r="A104" s="50"/>
      <c r="B104" s="23"/>
      <c r="C104" s="58">
        <f>C107+C122+C212</f>
        <v>228061</v>
      </c>
      <c r="D104" s="58">
        <f t="shared" ref="D104:M104" si="16">D107+D122+D212</f>
        <v>243040</v>
      </c>
      <c r="E104" s="58">
        <f t="shared" si="16"/>
        <v>17496</v>
      </c>
      <c r="F104" s="58">
        <f t="shared" si="16"/>
        <v>225544</v>
      </c>
      <c r="G104" s="58">
        <f t="shared" si="16"/>
        <v>59970</v>
      </c>
      <c r="H104" s="58">
        <f t="shared" si="16"/>
        <v>47312</v>
      </c>
      <c r="I104" s="58">
        <f t="shared" si="16"/>
        <v>0</v>
      </c>
      <c r="J104" s="58">
        <f t="shared" si="16"/>
        <v>10906</v>
      </c>
      <c r="K104" s="58">
        <f t="shared" si="16"/>
        <v>0</v>
      </c>
      <c r="L104" s="58">
        <f t="shared" si="16"/>
        <v>1752</v>
      </c>
      <c r="M104" s="58">
        <f t="shared" si="16"/>
        <v>0</v>
      </c>
      <c r="N104" s="22"/>
    </row>
    <row r="105" spans="1:14" s="7" customFormat="1" ht="14.25" customHeight="1">
      <c r="A105" s="50"/>
      <c r="B105" s="23"/>
      <c r="C105" s="52"/>
      <c r="D105" s="52"/>
      <c r="E105" s="52"/>
      <c r="F105" s="52"/>
      <c r="G105" s="202"/>
      <c r="H105" s="202"/>
      <c r="I105" s="202"/>
      <c r="J105" s="202"/>
      <c r="K105" s="202"/>
      <c r="L105" s="202"/>
      <c r="M105" s="202"/>
      <c r="N105" s="22"/>
    </row>
    <row r="106" spans="1:14" s="7" customFormat="1" ht="23.25" customHeight="1">
      <c r="A106" s="50" t="s">
        <v>70</v>
      </c>
      <c r="B106" s="34" t="s">
        <v>43</v>
      </c>
      <c r="C106" s="58">
        <f>C110+C114+C118</f>
        <v>34802</v>
      </c>
      <c r="D106" s="58">
        <f t="shared" ref="D106:M106" si="17">D110+D114+D118</f>
        <v>51632</v>
      </c>
      <c r="E106" s="58">
        <f t="shared" si="17"/>
        <v>23627</v>
      </c>
      <c r="F106" s="58">
        <f t="shared" si="17"/>
        <v>28005</v>
      </c>
      <c r="G106" s="58">
        <f t="shared" si="17"/>
        <v>15419</v>
      </c>
      <c r="H106" s="58">
        <f t="shared" si="17"/>
        <v>0</v>
      </c>
      <c r="I106" s="58">
        <f t="shared" si="17"/>
        <v>0</v>
      </c>
      <c r="J106" s="58">
        <f t="shared" si="17"/>
        <v>15197</v>
      </c>
      <c r="K106" s="58">
        <f t="shared" si="17"/>
        <v>0</v>
      </c>
      <c r="L106" s="58">
        <f t="shared" si="17"/>
        <v>222</v>
      </c>
      <c r="M106" s="58">
        <f t="shared" si="17"/>
        <v>0</v>
      </c>
      <c r="N106" s="22"/>
    </row>
    <row r="107" spans="1:14" s="7" customFormat="1" ht="23.25" customHeight="1">
      <c r="A107" s="50"/>
      <c r="B107" s="35" t="s">
        <v>34</v>
      </c>
      <c r="C107" s="58">
        <f>C111+C115+C119</f>
        <v>23185</v>
      </c>
      <c r="D107" s="58">
        <f t="shared" ref="D107:M107" si="18">D111+D115+D119</f>
        <v>38164</v>
      </c>
      <c r="E107" s="58">
        <f t="shared" si="18"/>
        <v>17496</v>
      </c>
      <c r="F107" s="58">
        <f t="shared" si="18"/>
        <v>20668</v>
      </c>
      <c r="G107" s="58">
        <f t="shared" si="18"/>
        <v>11106</v>
      </c>
      <c r="H107" s="58">
        <f t="shared" si="18"/>
        <v>0</v>
      </c>
      <c r="I107" s="58">
        <f t="shared" si="18"/>
        <v>0</v>
      </c>
      <c r="J107" s="58">
        <f t="shared" si="18"/>
        <v>10906</v>
      </c>
      <c r="K107" s="58">
        <f t="shared" si="18"/>
        <v>0</v>
      </c>
      <c r="L107" s="58">
        <f t="shared" si="18"/>
        <v>200</v>
      </c>
      <c r="M107" s="58">
        <f t="shared" si="18"/>
        <v>0</v>
      </c>
      <c r="N107" s="22"/>
    </row>
    <row r="108" spans="1:14" s="7" customFormat="1" ht="13.5" customHeight="1">
      <c r="A108" s="50"/>
      <c r="B108" s="32"/>
      <c r="C108" s="52"/>
      <c r="D108" s="52"/>
      <c r="E108" s="52"/>
      <c r="F108" s="52"/>
      <c r="G108" s="202"/>
      <c r="H108" s="202"/>
      <c r="I108" s="202"/>
      <c r="J108" s="202"/>
      <c r="K108" s="202"/>
      <c r="L108" s="202"/>
      <c r="M108" s="202"/>
      <c r="N108" s="22"/>
    </row>
    <row r="109" spans="1:14" s="7" customFormat="1" ht="13.5" customHeight="1">
      <c r="A109" s="50"/>
      <c r="B109" s="32"/>
      <c r="C109" s="52"/>
      <c r="D109" s="52"/>
      <c r="E109" s="52"/>
      <c r="F109" s="52"/>
      <c r="G109" s="52"/>
      <c r="H109" s="52"/>
      <c r="I109" s="52"/>
      <c r="J109" s="52"/>
      <c r="K109" s="52"/>
      <c r="L109" s="52"/>
      <c r="M109" s="52"/>
      <c r="N109" s="22"/>
    </row>
    <row r="110" spans="1:14" s="7" customFormat="1" ht="37.5" customHeight="1">
      <c r="A110" s="50">
        <v>1</v>
      </c>
      <c r="B110" s="192" t="s">
        <v>71</v>
      </c>
      <c r="C110" s="356">
        <v>13379</v>
      </c>
      <c r="D110" s="356">
        <v>22775</v>
      </c>
      <c r="E110" s="356">
        <f>1+183+11961-2107</f>
        <v>10038</v>
      </c>
      <c r="F110" s="2">
        <f>D110-E110</f>
        <v>12737</v>
      </c>
      <c r="G110" s="58">
        <f>SUM(H110:M110)</f>
        <v>7671</v>
      </c>
      <c r="H110" s="51"/>
      <c r="I110" s="51"/>
      <c r="J110" s="51">
        <f>1018+6653</f>
        <v>7671</v>
      </c>
      <c r="K110" s="51"/>
      <c r="L110" s="51">
        <v>0</v>
      </c>
      <c r="M110" s="51">
        <v>0</v>
      </c>
      <c r="N110" s="22" t="s">
        <v>45</v>
      </c>
    </row>
    <row r="111" spans="1:14" s="7" customFormat="1" ht="21" customHeight="1">
      <c r="A111" s="50"/>
      <c r="B111" s="171" t="s">
        <v>72</v>
      </c>
      <c r="C111" s="51">
        <v>9396</v>
      </c>
      <c r="D111" s="51">
        <v>15575</v>
      </c>
      <c r="E111" s="51">
        <f>10474-2738-2343</f>
        <v>5393</v>
      </c>
      <c r="F111" s="2">
        <f>D111-E111</f>
        <v>10182</v>
      </c>
      <c r="G111" s="58">
        <f>SUM(H111:M111)</f>
        <v>5245</v>
      </c>
      <c r="H111" s="51"/>
      <c r="I111" s="51"/>
      <c r="J111" s="51">
        <f>6720-1368-107</f>
        <v>5245</v>
      </c>
      <c r="K111" s="51"/>
      <c r="L111" s="51">
        <v>0</v>
      </c>
      <c r="M111" s="51">
        <v>0</v>
      </c>
      <c r="N111" s="22"/>
    </row>
    <row r="112" spans="1:14" s="7" customFormat="1" ht="13.5" customHeight="1">
      <c r="A112" s="50"/>
      <c r="B112" s="130"/>
      <c r="C112" s="52"/>
      <c r="D112" s="52"/>
      <c r="E112" s="52"/>
      <c r="F112" s="1"/>
      <c r="G112" s="52"/>
      <c r="H112" s="52"/>
      <c r="I112" s="52"/>
      <c r="J112" s="52"/>
      <c r="K112" s="52"/>
      <c r="L112" s="52"/>
      <c r="M112" s="52"/>
      <c r="N112" s="22"/>
    </row>
    <row r="113" spans="1:14" s="7" customFormat="1" ht="13.5" customHeight="1">
      <c r="A113" s="50"/>
      <c r="B113" s="161"/>
      <c r="C113" s="52"/>
      <c r="D113" s="52"/>
      <c r="E113" s="52"/>
      <c r="F113" s="1"/>
      <c r="G113" s="52"/>
      <c r="H113" s="52"/>
      <c r="I113" s="52"/>
      <c r="J113" s="52"/>
      <c r="K113" s="52"/>
      <c r="L113" s="52"/>
      <c r="M113" s="52"/>
      <c r="N113" s="22"/>
    </row>
    <row r="114" spans="1:14" s="7" customFormat="1" ht="36.75" customHeight="1">
      <c r="A114" s="50">
        <v>2</v>
      </c>
      <c r="B114" s="192" t="s">
        <v>73</v>
      </c>
      <c r="C114" s="356">
        <v>13645</v>
      </c>
      <c r="D114" s="356">
        <v>19270</v>
      </c>
      <c r="E114" s="356">
        <f>5+143+4684</f>
        <v>4832</v>
      </c>
      <c r="F114" s="2">
        <f>D114-E114</f>
        <v>14438</v>
      </c>
      <c r="G114" s="58">
        <f>SUM(H114:M114)</f>
        <v>7526</v>
      </c>
      <c r="H114" s="51"/>
      <c r="I114" s="51"/>
      <c r="J114" s="51">
        <f>998+6528</f>
        <v>7526</v>
      </c>
      <c r="K114" s="51"/>
      <c r="L114" s="51">
        <v>0</v>
      </c>
      <c r="M114" s="51">
        <v>0</v>
      </c>
      <c r="N114" s="22" t="s">
        <v>45</v>
      </c>
    </row>
    <row r="115" spans="1:14" s="7" customFormat="1" ht="18.75" customHeight="1">
      <c r="A115" s="50"/>
      <c r="B115" s="171" t="s">
        <v>74</v>
      </c>
      <c r="C115" s="51">
        <v>9472</v>
      </c>
      <c r="D115" s="51">
        <v>14496</v>
      </c>
      <c r="E115" s="51">
        <f>4563</f>
        <v>4563</v>
      </c>
      <c r="F115" s="2">
        <f>D115-E115</f>
        <v>9933</v>
      </c>
      <c r="G115" s="58">
        <f>SUM(H115:M115)</f>
        <v>5661</v>
      </c>
      <c r="H115" s="51"/>
      <c r="I115" s="51"/>
      <c r="J115" s="51">
        <f>7289-1512-116</f>
        <v>5661</v>
      </c>
      <c r="K115" s="51"/>
      <c r="L115" s="51">
        <v>0</v>
      </c>
      <c r="M115" s="51">
        <v>0</v>
      </c>
      <c r="N115" s="22"/>
    </row>
    <row r="116" spans="1:14" s="7" customFormat="1" ht="15.75" customHeight="1">
      <c r="A116" s="50"/>
      <c r="B116" s="171"/>
      <c r="C116" s="52"/>
      <c r="D116" s="52"/>
      <c r="E116" s="52"/>
      <c r="F116" s="1"/>
      <c r="G116" s="202"/>
      <c r="H116" s="52"/>
      <c r="I116" s="52"/>
      <c r="J116" s="52"/>
      <c r="K116" s="52"/>
      <c r="L116" s="52"/>
      <c r="M116" s="52"/>
      <c r="N116" s="22"/>
    </row>
    <row r="117" spans="1:14" s="7" customFormat="1" ht="15.75" customHeight="1">
      <c r="A117" s="50"/>
      <c r="B117" s="171"/>
      <c r="C117" s="52"/>
      <c r="D117" s="52"/>
      <c r="E117" s="52"/>
      <c r="F117" s="1"/>
      <c r="G117" s="202"/>
      <c r="H117" s="52"/>
      <c r="I117" s="52"/>
      <c r="J117" s="52"/>
      <c r="K117" s="52"/>
      <c r="L117" s="52"/>
      <c r="M117" s="52"/>
      <c r="N117" s="22"/>
    </row>
    <row r="118" spans="1:14" s="7" customFormat="1" ht="48.75" customHeight="1">
      <c r="A118" s="50">
        <v>3</v>
      </c>
      <c r="B118" s="192" t="s">
        <v>75</v>
      </c>
      <c r="C118" s="356">
        <v>7778</v>
      </c>
      <c r="D118" s="356">
        <v>9587</v>
      </c>
      <c r="E118" s="356">
        <f>116+3582+110+4949</f>
        <v>8757</v>
      </c>
      <c r="F118" s="2">
        <f>D118-E118</f>
        <v>830</v>
      </c>
      <c r="G118" s="58">
        <f>SUM(H118:M118)</f>
        <v>222</v>
      </c>
      <c r="H118" s="51"/>
      <c r="I118" s="51"/>
      <c r="J118" s="51"/>
      <c r="K118" s="51"/>
      <c r="L118" s="51">
        <f>600-378</f>
        <v>222</v>
      </c>
      <c r="M118" s="51"/>
      <c r="N118" s="22" t="s">
        <v>45</v>
      </c>
    </row>
    <row r="119" spans="1:14" s="7" customFormat="1" ht="24.75" customHeight="1">
      <c r="A119" s="50"/>
      <c r="B119" s="171" t="s">
        <v>76</v>
      </c>
      <c r="C119" s="51">
        <v>4317</v>
      </c>
      <c r="D119" s="51">
        <f>5792+751+1550</f>
        <v>8093</v>
      </c>
      <c r="E119" s="51">
        <f>97+3346+4097</f>
        <v>7540</v>
      </c>
      <c r="F119" s="2">
        <f>D119-E119</f>
        <v>553</v>
      </c>
      <c r="G119" s="58">
        <f>SUM(H119:M119)</f>
        <v>200</v>
      </c>
      <c r="H119" s="51"/>
      <c r="I119" s="51"/>
      <c r="J119" s="51"/>
      <c r="K119" s="51"/>
      <c r="L119" s="51">
        <v>200</v>
      </c>
      <c r="M119" s="51"/>
      <c r="N119" s="22"/>
    </row>
    <row r="120" spans="1:14" s="7" customFormat="1" ht="15" customHeight="1">
      <c r="A120" s="50"/>
      <c r="B120" s="139"/>
      <c r="C120" s="52"/>
      <c r="D120" s="52"/>
      <c r="E120" s="52"/>
      <c r="F120" s="1"/>
      <c r="G120" s="52"/>
      <c r="H120" s="52"/>
      <c r="I120" s="52"/>
      <c r="J120" s="52"/>
      <c r="K120" s="52"/>
      <c r="L120" s="52"/>
      <c r="M120" s="52"/>
      <c r="N120" s="22"/>
    </row>
    <row r="121" spans="1:14" s="7" customFormat="1" ht="27" customHeight="1">
      <c r="A121" s="8" t="s">
        <v>35</v>
      </c>
      <c r="B121" s="34" t="s">
        <v>43</v>
      </c>
      <c r="C121" s="274">
        <f>C124+C128+C132+C136+C140+C144+C148+C152+C156+C160+C164+C168+C172+C176+C180+C184+C188+C192+C196+C200+C204+C208</f>
        <v>315925</v>
      </c>
      <c r="D121" s="274">
        <f t="shared" ref="D121:M121" si="19">D124+D128+D132+D136+D140+D144+D148+D152+D156+D160+D164+D168+D172+D176+D180+D184+D188+D192+D196+D200+D204+D208</f>
        <v>315925</v>
      </c>
      <c r="E121" s="274">
        <f t="shared" si="19"/>
        <v>0</v>
      </c>
      <c r="F121" s="274">
        <f t="shared" si="19"/>
        <v>315925</v>
      </c>
      <c r="G121" s="274">
        <f t="shared" si="19"/>
        <v>71602</v>
      </c>
      <c r="H121" s="274">
        <f t="shared" si="19"/>
        <v>69594</v>
      </c>
      <c r="I121" s="274">
        <f t="shared" si="19"/>
        <v>0</v>
      </c>
      <c r="J121" s="274">
        <f t="shared" si="19"/>
        <v>0</v>
      </c>
      <c r="K121" s="274">
        <f t="shared" si="19"/>
        <v>0</v>
      </c>
      <c r="L121" s="274">
        <f t="shared" si="19"/>
        <v>2008</v>
      </c>
      <c r="M121" s="274">
        <f t="shared" si="19"/>
        <v>0</v>
      </c>
      <c r="N121" s="22"/>
    </row>
    <row r="122" spans="1:14" s="7" customFormat="1" ht="27" customHeight="1">
      <c r="A122" s="50"/>
      <c r="B122" s="35" t="s">
        <v>36</v>
      </c>
      <c r="C122" s="274">
        <f>C125+C129+C133+C137+C141+C145+C149+C153+C157+C161+C165+C169+C173+C177+C181+C185+C189+C193+C197+C201+C205+C209</f>
        <v>204876</v>
      </c>
      <c r="D122" s="274">
        <f t="shared" ref="D122:M122" si="20">D125+D129+D133+D137+D141+D145+D149+D153+D157+D161+D165+D169+D173+D177+D181+D185+D189+D193+D197+D201+D205+D209</f>
        <v>204876</v>
      </c>
      <c r="E122" s="274">
        <f t="shared" si="20"/>
        <v>0</v>
      </c>
      <c r="F122" s="274">
        <f t="shared" si="20"/>
        <v>204876</v>
      </c>
      <c r="G122" s="274">
        <f t="shared" si="20"/>
        <v>48864</v>
      </c>
      <c r="H122" s="274">
        <f t="shared" si="20"/>
        <v>47312</v>
      </c>
      <c r="I122" s="274">
        <f t="shared" si="20"/>
        <v>0</v>
      </c>
      <c r="J122" s="274">
        <f t="shared" si="20"/>
        <v>0</v>
      </c>
      <c r="K122" s="274">
        <f t="shared" si="20"/>
        <v>0</v>
      </c>
      <c r="L122" s="274">
        <f t="shared" si="20"/>
        <v>1552</v>
      </c>
      <c r="M122" s="274">
        <f t="shared" si="20"/>
        <v>0</v>
      </c>
      <c r="N122" s="22"/>
    </row>
    <row r="123" spans="1:14" s="7" customFormat="1" ht="27" customHeight="1">
      <c r="A123" s="50"/>
      <c r="B123" s="32"/>
      <c r="C123" s="52"/>
      <c r="D123" s="52"/>
      <c r="E123" s="52"/>
      <c r="F123" s="52"/>
      <c r="G123" s="52"/>
      <c r="H123" s="52"/>
      <c r="I123" s="52"/>
      <c r="J123" s="52"/>
      <c r="K123" s="52"/>
      <c r="L123" s="52"/>
      <c r="M123" s="52"/>
      <c r="N123" s="22"/>
    </row>
    <row r="124" spans="1:14" s="7" customFormat="1" ht="45.75" customHeight="1">
      <c r="A124" s="50">
        <v>1</v>
      </c>
      <c r="B124" s="192" t="s">
        <v>77</v>
      </c>
      <c r="C124" s="356">
        <v>29725</v>
      </c>
      <c r="D124" s="356">
        <f>C124</f>
        <v>29725</v>
      </c>
      <c r="E124" s="356">
        <v>0</v>
      </c>
      <c r="F124" s="2">
        <f>D124-E124</f>
        <v>29725</v>
      </c>
      <c r="G124" s="58">
        <f>SUM(H124:M124)</f>
        <v>3696</v>
      </c>
      <c r="H124" s="51">
        <v>3696</v>
      </c>
      <c r="I124" s="51"/>
      <c r="J124" s="51">
        <v>0</v>
      </c>
      <c r="K124" s="51"/>
      <c r="L124" s="51">
        <v>0</v>
      </c>
      <c r="M124" s="51">
        <v>0</v>
      </c>
      <c r="N124" s="22" t="s">
        <v>45</v>
      </c>
    </row>
    <row r="125" spans="1:14" s="7" customFormat="1" ht="21" customHeight="1">
      <c r="A125" s="50"/>
      <c r="B125" s="161" t="s">
        <v>78</v>
      </c>
      <c r="C125" s="51">
        <v>16954</v>
      </c>
      <c r="D125" s="51">
        <f>C125</f>
        <v>16954</v>
      </c>
      <c r="E125" s="51">
        <v>0</v>
      </c>
      <c r="F125" s="2">
        <f>D125-E125</f>
        <v>16954</v>
      </c>
      <c r="G125" s="58">
        <f>SUM(H125:M125)</f>
        <v>2108</v>
      </c>
      <c r="H125" s="51">
        <v>2108</v>
      </c>
      <c r="I125" s="51"/>
      <c r="J125" s="51">
        <v>0</v>
      </c>
      <c r="K125" s="51"/>
      <c r="L125" s="51">
        <v>0</v>
      </c>
      <c r="M125" s="51">
        <v>0</v>
      </c>
      <c r="N125" s="22"/>
    </row>
    <row r="126" spans="1:14" s="7" customFormat="1" ht="15" customHeight="1">
      <c r="A126" s="50"/>
      <c r="B126" s="32"/>
      <c r="C126" s="52"/>
      <c r="D126" s="52"/>
      <c r="E126" s="52"/>
      <c r="F126" s="52"/>
      <c r="G126" s="52"/>
      <c r="H126" s="52"/>
      <c r="I126" s="52"/>
      <c r="J126" s="52"/>
      <c r="K126" s="52"/>
      <c r="L126" s="52"/>
      <c r="M126" s="52"/>
      <c r="N126" s="22"/>
    </row>
    <row r="127" spans="1:14" s="7" customFormat="1" ht="15" customHeight="1">
      <c r="A127" s="50"/>
      <c r="B127" s="32"/>
      <c r="C127" s="52"/>
      <c r="D127" s="52"/>
      <c r="E127" s="52"/>
      <c r="F127" s="52"/>
      <c r="G127" s="52"/>
      <c r="H127" s="52"/>
      <c r="I127" s="52"/>
      <c r="J127" s="52"/>
      <c r="K127" s="52"/>
      <c r="L127" s="52"/>
      <c r="M127" s="52"/>
      <c r="N127" s="22"/>
    </row>
    <row r="128" spans="1:14" s="7" customFormat="1" ht="42.75" customHeight="1">
      <c r="A128" s="50">
        <v>2</v>
      </c>
      <c r="B128" s="192" t="s">
        <v>79</v>
      </c>
      <c r="C128" s="356">
        <v>4387</v>
      </c>
      <c r="D128" s="356">
        <f>C128</f>
        <v>4387</v>
      </c>
      <c r="E128" s="356">
        <v>0</v>
      </c>
      <c r="F128" s="2">
        <f>D128-E128</f>
        <v>4387</v>
      </c>
      <c r="G128" s="58">
        <f>SUM(H128:M128)</f>
        <v>1486</v>
      </c>
      <c r="H128" s="51">
        <v>1486</v>
      </c>
      <c r="I128" s="51"/>
      <c r="J128" s="51">
        <v>0</v>
      </c>
      <c r="K128" s="51"/>
      <c r="L128" s="51">
        <v>0</v>
      </c>
      <c r="M128" s="51">
        <v>0</v>
      </c>
      <c r="N128" s="22" t="s">
        <v>45</v>
      </c>
    </row>
    <row r="129" spans="1:14" s="7" customFormat="1" ht="19.5" customHeight="1">
      <c r="A129" s="50"/>
      <c r="B129" s="161" t="s">
        <v>80</v>
      </c>
      <c r="C129" s="51">
        <v>2916</v>
      </c>
      <c r="D129" s="51">
        <f>C129</f>
        <v>2916</v>
      </c>
      <c r="E129" s="51">
        <v>0</v>
      </c>
      <c r="F129" s="2">
        <f>D129-E129</f>
        <v>2916</v>
      </c>
      <c r="G129" s="58">
        <f>SUM(H129:M129)</f>
        <v>988</v>
      </c>
      <c r="H129" s="51">
        <v>988</v>
      </c>
      <c r="I129" s="51"/>
      <c r="J129" s="51">
        <v>0</v>
      </c>
      <c r="K129" s="51"/>
      <c r="L129" s="51">
        <v>0</v>
      </c>
      <c r="M129" s="51">
        <v>0</v>
      </c>
      <c r="N129" s="22"/>
    </row>
    <row r="130" spans="1:14" s="7" customFormat="1" ht="18" customHeight="1">
      <c r="A130" s="50"/>
      <c r="B130" s="32"/>
      <c r="C130" s="52"/>
      <c r="D130" s="52"/>
      <c r="E130" s="52"/>
      <c r="F130" s="52"/>
      <c r="G130" s="52"/>
      <c r="H130" s="52"/>
      <c r="I130" s="52"/>
      <c r="J130" s="52"/>
      <c r="K130" s="52"/>
      <c r="L130" s="52"/>
      <c r="M130" s="52"/>
      <c r="N130" s="22"/>
    </row>
    <row r="131" spans="1:14" s="7" customFormat="1" ht="18" customHeight="1">
      <c r="A131" s="50"/>
      <c r="B131" s="171"/>
      <c r="C131" s="52"/>
      <c r="D131" s="52"/>
      <c r="E131" s="52"/>
      <c r="F131" s="1"/>
      <c r="G131" s="202"/>
      <c r="H131" s="52"/>
      <c r="I131" s="52"/>
      <c r="J131" s="52"/>
      <c r="K131" s="52"/>
      <c r="L131" s="52"/>
      <c r="M131" s="52"/>
      <c r="N131" s="22"/>
    </row>
    <row r="132" spans="1:14" s="7" customFormat="1" ht="57">
      <c r="A132" s="50">
        <v>3</v>
      </c>
      <c r="B132" s="192" t="s">
        <v>81</v>
      </c>
      <c r="C132" s="356">
        <v>16757</v>
      </c>
      <c r="D132" s="356">
        <f>C132</f>
        <v>16757</v>
      </c>
      <c r="E132" s="356">
        <v>0</v>
      </c>
      <c r="F132" s="2">
        <f>D132-E132</f>
        <v>16757</v>
      </c>
      <c r="G132" s="58">
        <f>SUM(H132:M132)</f>
        <v>2653</v>
      </c>
      <c r="H132" s="51">
        <v>2653</v>
      </c>
      <c r="I132" s="51"/>
      <c r="J132" s="51">
        <v>0</v>
      </c>
      <c r="K132" s="51"/>
      <c r="L132" s="51">
        <v>0</v>
      </c>
      <c r="M132" s="51">
        <v>0</v>
      </c>
      <c r="N132" s="22" t="s">
        <v>45</v>
      </c>
    </row>
    <row r="133" spans="1:14" s="7" customFormat="1" ht="21.75" customHeight="1">
      <c r="A133" s="50"/>
      <c r="B133" s="161" t="s">
        <v>82</v>
      </c>
      <c r="C133" s="51">
        <v>12983</v>
      </c>
      <c r="D133" s="51">
        <f>C133</f>
        <v>12983</v>
      </c>
      <c r="E133" s="51">
        <v>0</v>
      </c>
      <c r="F133" s="2">
        <f>D133-E133</f>
        <v>12983</v>
      </c>
      <c r="G133" s="58">
        <f>SUM(H133:M133)</f>
        <v>2055</v>
      </c>
      <c r="H133" s="51">
        <v>2055</v>
      </c>
      <c r="I133" s="51"/>
      <c r="J133" s="51">
        <v>0</v>
      </c>
      <c r="K133" s="51"/>
      <c r="L133" s="51">
        <v>0</v>
      </c>
      <c r="M133" s="51">
        <v>0</v>
      </c>
      <c r="N133" s="22"/>
    </row>
    <row r="134" spans="1:14" s="7" customFormat="1" ht="12.75" customHeight="1">
      <c r="A134" s="50"/>
      <c r="B134" s="161"/>
      <c r="C134" s="52"/>
      <c r="D134" s="52"/>
      <c r="E134" s="52"/>
      <c r="F134" s="1"/>
      <c r="G134" s="202"/>
      <c r="H134" s="52"/>
      <c r="I134" s="52"/>
      <c r="J134" s="52"/>
      <c r="K134" s="52"/>
      <c r="L134" s="52"/>
      <c r="M134" s="52"/>
      <c r="N134" s="22"/>
    </row>
    <row r="135" spans="1:14" s="7" customFormat="1" ht="12.75" customHeight="1">
      <c r="A135" s="50"/>
      <c r="B135" s="161"/>
      <c r="C135" s="52"/>
      <c r="D135" s="52"/>
      <c r="E135" s="52"/>
      <c r="F135" s="1"/>
      <c r="G135" s="202"/>
      <c r="H135" s="52"/>
      <c r="I135" s="52"/>
      <c r="J135" s="52"/>
      <c r="K135" s="52"/>
      <c r="L135" s="52"/>
      <c r="M135" s="52"/>
      <c r="N135" s="22"/>
    </row>
    <row r="136" spans="1:14" s="7" customFormat="1" ht="43.5" customHeight="1">
      <c r="A136" s="50">
        <v>4</v>
      </c>
      <c r="B136" s="192" t="s">
        <v>83</v>
      </c>
      <c r="C136" s="356">
        <v>21651</v>
      </c>
      <c r="D136" s="356">
        <f>C136</f>
        <v>21651</v>
      </c>
      <c r="E136" s="356">
        <v>0</v>
      </c>
      <c r="F136" s="2">
        <f>D136-E136</f>
        <v>21651</v>
      </c>
      <c r="G136" s="58">
        <f>SUM(H136:M136)</f>
        <v>8924</v>
      </c>
      <c r="H136" s="51">
        <v>8924</v>
      </c>
      <c r="I136" s="51"/>
      <c r="J136" s="51">
        <v>0</v>
      </c>
      <c r="K136" s="51"/>
      <c r="L136" s="51">
        <v>0</v>
      </c>
      <c r="M136" s="51">
        <v>0</v>
      </c>
      <c r="N136" s="22" t="s">
        <v>45</v>
      </c>
    </row>
    <row r="137" spans="1:14" s="7" customFormat="1" ht="16.5" customHeight="1">
      <c r="A137" s="50"/>
      <c r="B137" s="161" t="s">
        <v>84</v>
      </c>
      <c r="C137" s="51">
        <v>16272</v>
      </c>
      <c r="D137" s="51">
        <f>C137</f>
        <v>16272</v>
      </c>
      <c r="E137" s="51">
        <v>0</v>
      </c>
      <c r="F137" s="2">
        <f>D137-E137</f>
        <v>16272</v>
      </c>
      <c r="G137" s="58">
        <f>SUM(H137:M137)</f>
        <v>6707</v>
      </c>
      <c r="H137" s="51">
        <v>6707</v>
      </c>
      <c r="I137" s="51"/>
      <c r="J137" s="51">
        <v>0</v>
      </c>
      <c r="K137" s="51"/>
      <c r="L137" s="51">
        <v>0</v>
      </c>
      <c r="M137" s="51">
        <v>0</v>
      </c>
      <c r="N137" s="22"/>
    </row>
    <row r="138" spans="1:14" customFormat="1" ht="16.5" customHeight="1">
      <c r="A138" s="357"/>
      <c r="B138" s="357"/>
      <c r="C138" s="357"/>
      <c r="D138" s="357"/>
      <c r="E138" s="357"/>
      <c r="F138" s="357"/>
      <c r="G138" s="357"/>
      <c r="H138" s="357"/>
      <c r="I138" s="357"/>
      <c r="J138" s="357"/>
      <c r="K138" s="357"/>
      <c r="L138" s="357"/>
      <c r="M138" s="357"/>
      <c r="N138" s="357"/>
    </row>
    <row r="139" spans="1:14" customFormat="1" ht="16.5" customHeight="1">
      <c r="A139" s="357"/>
      <c r="B139" s="357"/>
      <c r="C139" s="357"/>
      <c r="D139" s="357"/>
      <c r="E139" s="357"/>
      <c r="F139" s="357"/>
      <c r="G139" s="357"/>
      <c r="H139" s="357"/>
      <c r="I139" s="357"/>
      <c r="J139" s="357"/>
      <c r="K139" s="357"/>
      <c r="L139" s="357"/>
      <c r="M139" s="357"/>
      <c r="N139" s="357"/>
    </row>
    <row r="140" spans="1:14" s="7" customFormat="1" ht="43.5" customHeight="1">
      <c r="A140" s="50">
        <v>5</v>
      </c>
      <c r="B140" s="192" t="s">
        <v>85</v>
      </c>
      <c r="C140" s="356">
        <v>7462</v>
      </c>
      <c r="D140" s="356">
        <f>C140</f>
        <v>7462</v>
      </c>
      <c r="E140" s="356">
        <v>0</v>
      </c>
      <c r="F140" s="2">
        <f>D140-E140</f>
        <v>7462</v>
      </c>
      <c r="G140" s="58">
        <f>SUM(H140:M140)</f>
        <v>1811</v>
      </c>
      <c r="H140" s="51">
        <v>1811</v>
      </c>
      <c r="I140" s="51"/>
      <c r="J140" s="51">
        <v>0</v>
      </c>
      <c r="K140" s="51"/>
      <c r="L140" s="51">
        <v>0</v>
      </c>
      <c r="M140" s="51">
        <v>0</v>
      </c>
      <c r="N140" s="22" t="s">
        <v>45</v>
      </c>
    </row>
    <row r="141" spans="1:14" s="7" customFormat="1" ht="18" customHeight="1">
      <c r="A141" s="50"/>
      <c r="B141" s="161" t="s">
        <v>86</v>
      </c>
      <c r="C141" s="51">
        <v>5295</v>
      </c>
      <c r="D141" s="51">
        <f>C141</f>
        <v>5295</v>
      </c>
      <c r="E141" s="51">
        <v>0</v>
      </c>
      <c r="F141" s="2">
        <f>D141-E141</f>
        <v>5295</v>
      </c>
      <c r="G141" s="58">
        <f>SUM(H141:M141)</f>
        <v>1285</v>
      </c>
      <c r="H141" s="51">
        <v>1285</v>
      </c>
      <c r="I141" s="51"/>
      <c r="J141" s="51">
        <v>0</v>
      </c>
      <c r="K141" s="51"/>
      <c r="L141" s="51">
        <v>0</v>
      </c>
      <c r="M141" s="51">
        <v>0</v>
      </c>
      <c r="N141" s="22"/>
    </row>
    <row r="142" spans="1:14" s="7" customFormat="1" ht="16.5" customHeight="1">
      <c r="A142" s="50"/>
      <c r="B142" s="161"/>
      <c r="C142" s="52"/>
      <c r="D142" s="52"/>
      <c r="E142" s="52"/>
      <c r="F142" s="1"/>
      <c r="G142" s="202"/>
      <c r="H142" s="52"/>
      <c r="I142" s="52"/>
      <c r="J142" s="52"/>
      <c r="K142" s="52"/>
      <c r="L142" s="52"/>
      <c r="M142" s="52"/>
      <c r="N142" s="22"/>
    </row>
    <row r="143" spans="1:14" s="7" customFormat="1" ht="16.5" customHeight="1">
      <c r="A143" s="50"/>
      <c r="B143" s="171"/>
      <c r="C143" s="52"/>
      <c r="D143" s="52"/>
      <c r="E143" s="52"/>
      <c r="F143" s="1"/>
      <c r="G143" s="202"/>
      <c r="H143" s="52"/>
      <c r="I143" s="52"/>
      <c r="J143" s="52"/>
      <c r="K143" s="52"/>
      <c r="L143" s="52"/>
      <c r="M143" s="52"/>
      <c r="N143" s="22"/>
    </row>
    <row r="144" spans="1:14" s="7" customFormat="1" ht="42.75">
      <c r="A144" s="50">
        <v>6</v>
      </c>
      <c r="B144" s="192" t="s">
        <v>87</v>
      </c>
      <c r="C144" s="356">
        <v>7452</v>
      </c>
      <c r="D144" s="356">
        <f>C144</f>
        <v>7452</v>
      </c>
      <c r="E144" s="356">
        <v>0</v>
      </c>
      <c r="F144" s="2">
        <f>D144-E144</f>
        <v>7452</v>
      </c>
      <c r="G144" s="58">
        <f>SUM(H144:M144)</f>
        <v>2651</v>
      </c>
      <c r="H144" s="51">
        <v>2651</v>
      </c>
      <c r="I144" s="51"/>
      <c r="J144" s="51">
        <v>0</v>
      </c>
      <c r="K144" s="51"/>
      <c r="L144" s="51">
        <v>0</v>
      </c>
      <c r="M144" s="51">
        <v>0</v>
      </c>
      <c r="N144" s="22" t="s">
        <v>45</v>
      </c>
    </row>
    <row r="145" spans="1:14" s="7" customFormat="1" ht="20.25" customHeight="1">
      <c r="A145" s="50"/>
      <c r="B145" s="161" t="s">
        <v>88</v>
      </c>
      <c r="C145" s="51">
        <v>5666</v>
      </c>
      <c r="D145" s="51">
        <f>C145</f>
        <v>5666</v>
      </c>
      <c r="E145" s="51">
        <v>0</v>
      </c>
      <c r="F145" s="2">
        <f>D145-E145</f>
        <v>5666</v>
      </c>
      <c r="G145" s="58">
        <f>SUM(H145:M145)</f>
        <v>2016</v>
      </c>
      <c r="H145" s="51">
        <v>2016</v>
      </c>
      <c r="I145" s="51"/>
      <c r="J145" s="51">
        <v>0</v>
      </c>
      <c r="K145" s="51"/>
      <c r="L145" s="51">
        <v>0</v>
      </c>
      <c r="M145" s="51">
        <v>0</v>
      </c>
      <c r="N145" s="22"/>
    </row>
    <row r="146" spans="1:14" s="7" customFormat="1" ht="18.75" customHeight="1">
      <c r="A146" s="50"/>
      <c r="B146" s="161"/>
      <c r="C146" s="52"/>
      <c r="D146" s="52"/>
      <c r="E146" s="52"/>
      <c r="F146" s="1"/>
      <c r="G146" s="202"/>
      <c r="H146" s="52"/>
      <c r="I146" s="52"/>
      <c r="J146" s="52"/>
      <c r="K146" s="52"/>
      <c r="L146" s="52"/>
      <c r="M146" s="52"/>
      <c r="N146" s="22"/>
    </row>
    <row r="147" spans="1:14" s="7" customFormat="1" ht="18.75" customHeight="1">
      <c r="A147" s="50"/>
      <c r="B147" s="161"/>
      <c r="C147" s="52"/>
      <c r="D147" s="52"/>
      <c r="E147" s="52"/>
      <c r="F147" s="1"/>
      <c r="G147" s="202"/>
      <c r="H147" s="52"/>
      <c r="I147" s="52"/>
      <c r="J147" s="52"/>
      <c r="K147" s="52"/>
      <c r="L147" s="52"/>
      <c r="M147" s="52"/>
      <c r="N147" s="22"/>
    </row>
    <row r="148" spans="1:14" s="7" customFormat="1" ht="42.75" customHeight="1">
      <c r="A148" s="50">
        <v>7</v>
      </c>
      <c r="B148" s="192" t="s">
        <v>89</v>
      </c>
      <c r="C148" s="356">
        <v>15679</v>
      </c>
      <c r="D148" s="356">
        <f>C148</f>
        <v>15679</v>
      </c>
      <c r="E148" s="356">
        <v>0</v>
      </c>
      <c r="F148" s="2">
        <f>D148-E148</f>
        <v>15679</v>
      </c>
      <c r="G148" s="58">
        <f>SUM(H148:M148)</f>
        <v>3226</v>
      </c>
      <c r="H148" s="51">
        <v>3226</v>
      </c>
      <c r="I148" s="51"/>
      <c r="J148" s="51">
        <v>0</v>
      </c>
      <c r="K148" s="51"/>
      <c r="L148" s="51">
        <v>0</v>
      </c>
      <c r="M148" s="51">
        <v>0</v>
      </c>
      <c r="N148" s="22" t="s">
        <v>45</v>
      </c>
    </row>
    <row r="149" spans="1:14" s="7" customFormat="1" ht="20.25" customHeight="1">
      <c r="A149" s="50"/>
      <c r="B149" s="161" t="s">
        <v>90</v>
      </c>
      <c r="C149" s="51">
        <v>6261</v>
      </c>
      <c r="D149" s="51">
        <f>C149</f>
        <v>6261</v>
      </c>
      <c r="E149" s="51">
        <v>0</v>
      </c>
      <c r="F149" s="2">
        <f>D149-E149</f>
        <v>6261</v>
      </c>
      <c r="G149" s="58">
        <f>SUM(H149:M149)</f>
        <v>1288</v>
      </c>
      <c r="H149" s="51">
        <v>1288</v>
      </c>
      <c r="I149" s="51"/>
      <c r="J149" s="51">
        <v>0</v>
      </c>
      <c r="K149" s="51"/>
      <c r="L149" s="51">
        <v>0</v>
      </c>
      <c r="M149" s="51">
        <v>0</v>
      </c>
      <c r="N149" s="22"/>
    </row>
    <row r="150" spans="1:14" s="7" customFormat="1" ht="17.25" customHeight="1">
      <c r="A150" s="50"/>
      <c r="B150" s="161"/>
      <c r="C150" s="52"/>
      <c r="D150" s="52"/>
      <c r="E150" s="52"/>
      <c r="F150" s="1"/>
      <c r="G150" s="202"/>
      <c r="H150" s="52"/>
      <c r="I150" s="52"/>
      <c r="J150" s="52"/>
      <c r="K150" s="52"/>
      <c r="L150" s="52"/>
      <c r="M150" s="52"/>
      <c r="N150" s="22"/>
    </row>
    <row r="151" spans="1:14" s="7" customFormat="1" ht="17.25" customHeight="1">
      <c r="A151" s="50"/>
      <c r="B151" s="161"/>
      <c r="C151" s="52"/>
      <c r="D151" s="52"/>
      <c r="E151" s="52"/>
      <c r="F151" s="1"/>
      <c r="G151" s="202"/>
      <c r="H151" s="52"/>
      <c r="I151" s="52"/>
      <c r="J151" s="52"/>
      <c r="K151" s="52"/>
      <c r="L151" s="52"/>
      <c r="M151" s="52"/>
      <c r="N151" s="22"/>
    </row>
    <row r="152" spans="1:14" s="7" customFormat="1" ht="42.75" customHeight="1">
      <c r="A152" s="50">
        <v>8</v>
      </c>
      <c r="B152" s="192" t="s">
        <v>91</v>
      </c>
      <c r="C152" s="356">
        <v>19115</v>
      </c>
      <c r="D152" s="356">
        <f>C152</f>
        <v>19115</v>
      </c>
      <c r="E152" s="356">
        <v>0</v>
      </c>
      <c r="F152" s="2">
        <f>D152-E152</f>
        <v>19115</v>
      </c>
      <c r="G152" s="58">
        <f>SUM(H152:M152)</f>
        <v>6258</v>
      </c>
      <c r="H152" s="51">
        <v>6258</v>
      </c>
      <c r="I152" s="51"/>
      <c r="J152" s="51">
        <v>0</v>
      </c>
      <c r="K152" s="51"/>
      <c r="L152" s="51">
        <v>0</v>
      </c>
      <c r="M152" s="51">
        <v>0</v>
      </c>
      <c r="N152" s="22" t="s">
        <v>45</v>
      </c>
    </row>
    <row r="153" spans="1:14" s="7" customFormat="1" ht="21.75" customHeight="1">
      <c r="A153" s="50"/>
      <c r="B153" s="161" t="s">
        <v>92</v>
      </c>
      <c r="C153" s="51">
        <v>14346</v>
      </c>
      <c r="D153" s="51">
        <f>C153</f>
        <v>14346</v>
      </c>
      <c r="E153" s="51">
        <v>0</v>
      </c>
      <c r="F153" s="2">
        <f>D153-E153</f>
        <v>14346</v>
      </c>
      <c r="G153" s="58">
        <f>SUM(H153:M153)</f>
        <v>4697</v>
      </c>
      <c r="H153" s="51">
        <v>4697</v>
      </c>
      <c r="I153" s="51"/>
      <c r="J153" s="51">
        <v>0</v>
      </c>
      <c r="K153" s="51"/>
      <c r="L153" s="51">
        <v>0</v>
      </c>
      <c r="M153" s="51">
        <v>0</v>
      </c>
      <c r="N153" s="22"/>
    </row>
    <row r="154" spans="1:14" s="7" customFormat="1" ht="15.75" customHeight="1">
      <c r="A154" s="50"/>
      <c r="B154" s="161"/>
      <c r="C154" s="52"/>
      <c r="D154" s="52"/>
      <c r="E154" s="52"/>
      <c r="F154" s="1"/>
      <c r="G154" s="202"/>
      <c r="H154" s="52"/>
      <c r="I154" s="52"/>
      <c r="J154" s="52"/>
      <c r="K154" s="52"/>
      <c r="L154" s="52"/>
      <c r="M154" s="52"/>
      <c r="N154" s="22"/>
    </row>
    <row r="155" spans="1:14" s="7" customFormat="1" ht="15.75" customHeight="1">
      <c r="A155" s="50"/>
      <c r="B155" s="161"/>
      <c r="C155" s="52"/>
      <c r="D155" s="52"/>
      <c r="E155" s="52"/>
      <c r="F155" s="1"/>
      <c r="G155" s="202"/>
      <c r="H155" s="52"/>
      <c r="I155" s="52"/>
      <c r="J155" s="52"/>
      <c r="K155" s="52"/>
      <c r="L155" s="52"/>
      <c r="M155" s="52"/>
      <c r="N155" s="22"/>
    </row>
    <row r="156" spans="1:14" s="7" customFormat="1" ht="27" customHeight="1">
      <c r="A156" s="50">
        <v>9</v>
      </c>
      <c r="B156" s="192" t="s">
        <v>93</v>
      </c>
      <c r="C156" s="356">
        <v>20045</v>
      </c>
      <c r="D156" s="356">
        <f>C156</f>
        <v>20045</v>
      </c>
      <c r="E156" s="356">
        <v>0</v>
      </c>
      <c r="F156" s="2">
        <f>D156-E156</f>
        <v>20045</v>
      </c>
      <c r="G156" s="58">
        <f>SUM(H156:M156)</f>
        <v>3904</v>
      </c>
      <c r="H156" s="51">
        <v>3904</v>
      </c>
      <c r="I156" s="51"/>
      <c r="J156" s="51">
        <v>0</v>
      </c>
      <c r="K156" s="51"/>
      <c r="L156" s="51">
        <v>0</v>
      </c>
      <c r="M156" s="51">
        <v>0</v>
      </c>
      <c r="N156" s="22" t="s">
        <v>45</v>
      </c>
    </row>
    <row r="157" spans="1:14" s="7" customFormat="1" ht="27" customHeight="1">
      <c r="A157" s="50"/>
      <c r="B157" s="161" t="s">
        <v>94</v>
      </c>
      <c r="C157" s="51">
        <v>15046</v>
      </c>
      <c r="D157" s="51">
        <f>C157</f>
        <v>15046</v>
      </c>
      <c r="E157" s="51">
        <v>0</v>
      </c>
      <c r="F157" s="2">
        <f>D157-E157</f>
        <v>15046</v>
      </c>
      <c r="G157" s="58">
        <f>SUM(H157:M157)</f>
        <v>3647</v>
      </c>
      <c r="H157" s="51">
        <v>3647</v>
      </c>
      <c r="I157" s="51"/>
      <c r="J157" s="51">
        <v>0</v>
      </c>
      <c r="K157" s="51"/>
      <c r="L157" s="51">
        <v>0</v>
      </c>
      <c r="M157" s="51">
        <v>0</v>
      </c>
      <c r="N157" s="22"/>
    </row>
    <row r="158" spans="1:14" s="7" customFormat="1" ht="14.25" customHeight="1">
      <c r="A158" s="50"/>
      <c r="B158" s="161"/>
      <c r="C158" s="52"/>
      <c r="D158" s="52"/>
      <c r="E158" s="52"/>
      <c r="F158" s="1"/>
      <c r="G158" s="52"/>
      <c r="H158" s="52"/>
      <c r="I158" s="52"/>
      <c r="J158" s="52"/>
      <c r="K158" s="52"/>
      <c r="L158" s="52"/>
      <c r="M158" s="52"/>
      <c r="N158" s="22"/>
    </row>
    <row r="159" spans="1:14" s="7" customFormat="1" ht="14.25" customHeight="1">
      <c r="A159" s="50"/>
      <c r="B159" s="161"/>
      <c r="C159" s="52"/>
      <c r="D159" s="52"/>
      <c r="E159" s="52"/>
      <c r="F159" s="1"/>
      <c r="G159" s="52"/>
      <c r="H159" s="52"/>
      <c r="I159" s="52"/>
      <c r="J159" s="52"/>
      <c r="K159" s="52"/>
      <c r="L159" s="52"/>
      <c r="M159" s="52"/>
      <c r="N159" s="22"/>
    </row>
    <row r="160" spans="1:14" s="7" customFormat="1" ht="27" customHeight="1">
      <c r="A160" s="50">
        <v>10</v>
      </c>
      <c r="B160" s="192" t="s">
        <v>95</v>
      </c>
      <c r="C160" s="356">
        <v>13665</v>
      </c>
      <c r="D160" s="356">
        <f>C160</f>
        <v>13665</v>
      </c>
      <c r="E160" s="356">
        <v>0</v>
      </c>
      <c r="F160" s="2">
        <f>D160-E160</f>
        <v>13665</v>
      </c>
      <c r="G160" s="58">
        <f>SUM(H160:M160)</f>
        <v>2687</v>
      </c>
      <c r="H160" s="51">
        <v>2687</v>
      </c>
      <c r="I160" s="51"/>
      <c r="J160" s="51">
        <v>0</v>
      </c>
      <c r="K160" s="51"/>
      <c r="L160" s="51">
        <v>0</v>
      </c>
      <c r="M160" s="51">
        <v>0</v>
      </c>
      <c r="N160" s="22" t="s">
        <v>45</v>
      </c>
    </row>
    <row r="161" spans="1:14" s="7" customFormat="1" ht="27" customHeight="1">
      <c r="A161" s="50"/>
      <c r="B161" s="161" t="s">
        <v>96</v>
      </c>
      <c r="C161" s="51">
        <v>7122</v>
      </c>
      <c r="D161" s="51">
        <f>C161</f>
        <v>7122</v>
      </c>
      <c r="E161" s="51">
        <v>0</v>
      </c>
      <c r="F161" s="2">
        <f>D161-E161</f>
        <v>7122</v>
      </c>
      <c r="G161" s="58">
        <f>SUM(H161:M161)</f>
        <v>1400</v>
      </c>
      <c r="H161" s="51">
        <v>1400</v>
      </c>
      <c r="I161" s="51"/>
      <c r="J161" s="51">
        <v>0</v>
      </c>
      <c r="K161" s="51"/>
      <c r="L161" s="51">
        <v>0</v>
      </c>
      <c r="M161" s="51">
        <v>0</v>
      </c>
      <c r="N161" s="22"/>
    </row>
    <row r="162" spans="1:14" s="7" customFormat="1" ht="15.75" customHeight="1">
      <c r="A162" s="50"/>
      <c r="B162" s="161"/>
      <c r="C162" s="52"/>
      <c r="D162" s="52"/>
      <c r="E162" s="52"/>
      <c r="F162" s="1"/>
      <c r="G162" s="52"/>
      <c r="H162" s="52"/>
      <c r="I162" s="52"/>
      <c r="J162" s="52"/>
      <c r="K162" s="52"/>
      <c r="L162" s="52"/>
      <c r="M162" s="52"/>
      <c r="N162" s="22"/>
    </row>
    <row r="163" spans="1:14" s="7" customFormat="1" ht="15.75" customHeight="1">
      <c r="A163" s="50"/>
      <c r="B163" s="161"/>
      <c r="C163" s="52"/>
      <c r="D163" s="52"/>
      <c r="E163" s="52"/>
      <c r="F163" s="1"/>
      <c r="G163" s="52"/>
      <c r="H163" s="52"/>
      <c r="I163" s="52"/>
      <c r="J163" s="52"/>
      <c r="K163" s="52"/>
      <c r="L163" s="52"/>
      <c r="M163" s="52"/>
      <c r="N163" s="22"/>
    </row>
    <row r="164" spans="1:14" s="7" customFormat="1" ht="42.75">
      <c r="A164" s="50">
        <v>11</v>
      </c>
      <c r="B164" s="192" t="s">
        <v>97</v>
      </c>
      <c r="C164" s="356">
        <v>12916</v>
      </c>
      <c r="D164" s="356">
        <f>C164</f>
        <v>12916</v>
      </c>
      <c r="E164" s="356">
        <v>0</v>
      </c>
      <c r="F164" s="2">
        <f>D164-E164</f>
        <v>12916</v>
      </c>
      <c r="G164" s="58">
        <f>SUM(H164:M164)</f>
        <v>1144</v>
      </c>
      <c r="H164" s="51">
        <v>1144</v>
      </c>
      <c r="I164" s="51"/>
      <c r="J164" s="51">
        <v>0</v>
      </c>
      <c r="K164" s="51"/>
      <c r="L164" s="51">
        <v>0</v>
      </c>
      <c r="M164" s="51">
        <v>0</v>
      </c>
      <c r="N164" s="22" t="s">
        <v>45</v>
      </c>
    </row>
    <row r="165" spans="1:14" s="7" customFormat="1" ht="21" customHeight="1">
      <c r="A165" s="50"/>
      <c r="B165" s="161" t="s">
        <v>98</v>
      </c>
      <c r="C165" s="51">
        <v>6446</v>
      </c>
      <c r="D165" s="51">
        <f>C165</f>
        <v>6446</v>
      </c>
      <c r="E165" s="51">
        <v>0</v>
      </c>
      <c r="F165" s="2">
        <f>D165-E165</f>
        <v>6446</v>
      </c>
      <c r="G165" s="58">
        <f>SUM(H165:M165)</f>
        <v>571</v>
      </c>
      <c r="H165" s="51">
        <v>571</v>
      </c>
      <c r="I165" s="51"/>
      <c r="J165" s="51">
        <v>0</v>
      </c>
      <c r="K165" s="51"/>
      <c r="L165" s="51">
        <v>0</v>
      </c>
      <c r="M165" s="51">
        <v>0</v>
      </c>
      <c r="N165" s="22"/>
    </row>
    <row r="166" spans="1:14" s="7" customFormat="1" ht="13.5" customHeight="1">
      <c r="A166" s="50"/>
      <c r="B166" s="161"/>
      <c r="C166" s="52"/>
      <c r="D166" s="52"/>
      <c r="E166" s="52"/>
      <c r="F166" s="1"/>
      <c r="G166" s="52"/>
      <c r="H166" s="52"/>
      <c r="I166" s="52"/>
      <c r="J166" s="52"/>
      <c r="K166" s="52"/>
      <c r="L166" s="52"/>
      <c r="M166" s="52"/>
      <c r="N166" s="22"/>
    </row>
    <row r="167" spans="1:14" s="7" customFormat="1" ht="13.5" customHeight="1">
      <c r="A167" s="50"/>
      <c r="B167" s="161"/>
      <c r="C167" s="52"/>
      <c r="D167" s="52"/>
      <c r="E167" s="52"/>
      <c r="F167" s="1"/>
      <c r="G167" s="52"/>
      <c r="H167" s="52"/>
      <c r="I167" s="52"/>
      <c r="J167" s="52"/>
      <c r="K167" s="52"/>
      <c r="L167" s="52"/>
      <c r="M167" s="52"/>
      <c r="N167" s="22"/>
    </row>
    <row r="168" spans="1:14" s="7" customFormat="1" ht="42.75">
      <c r="A168" s="50">
        <v>12</v>
      </c>
      <c r="B168" s="192" t="s">
        <v>99</v>
      </c>
      <c r="C168" s="356">
        <v>42516</v>
      </c>
      <c r="D168" s="356">
        <f>C168</f>
        <v>42516</v>
      </c>
      <c r="E168" s="356">
        <v>0</v>
      </c>
      <c r="F168" s="2">
        <f>D168-E168</f>
        <v>42516</v>
      </c>
      <c r="G168" s="58">
        <f>SUM(H168:M168)</f>
        <v>10357</v>
      </c>
      <c r="H168" s="51">
        <v>10357</v>
      </c>
      <c r="I168" s="51"/>
      <c r="J168" s="51">
        <v>0</v>
      </c>
      <c r="K168" s="51"/>
      <c r="L168" s="51">
        <v>0</v>
      </c>
      <c r="M168" s="51">
        <v>0</v>
      </c>
      <c r="N168" s="22" t="s">
        <v>45</v>
      </c>
    </row>
    <row r="169" spans="1:14" s="7" customFormat="1" ht="19.5" customHeight="1">
      <c r="A169" s="50"/>
      <c r="B169" s="161" t="s">
        <v>100</v>
      </c>
      <c r="C169" s="51">
        <v>23221</v>
      </c>
      <c r="D169" s="51">
        <f>C169</f>
        <v>23221</v>
      </c>
      <c r="E169" s="51">
        <v>0</v>
      </c>
      <c r="F169" s="2">
        <f>D169-E169</f>
        <v>23221</v>
      </c>
      <c r="G169" s="58">
        <f>SUM(H169:M169)</f>
        <v>5657</v>
      </c>
      <c r="H169" s="51">
        <v>5657</v>
      </c>
      <c r="I169" s="51"/>
      <c r="J169" s="51">
        <v>0</v>
      </c>
      <c r="K169" s="51"/>
      <c r="L169" s="51">
        <v>0</v>
      </c>
      <c r="M169" s="51">
        <v>0</v>
      </c>
      <c r="N169" s="22"/>
    </row>
    <row r="170" spans="1:14" s="7" customFormat="1" ht="12.75" customHeight="1">
      <c r="A170" s="50"/>
      <c r="B170" s="161"/>
      <c r="C170" s="52"/>
      <c r="D170" s="52"/>
      <c r="E170" s="52"/>
      <c r="F170" s="1"/>
      <c r="G170" s="52"/>
      <c r="H170" s="52"/>
      <c r="I170" s="52"/>
      <c r="J170" s="52"/>
      <c r="K170" s="52"/>
      <c r="L170" s="52"/>
      <c r="M170" s="52"/>
      <c r="N170" s="22"/>
    </row>
    <row r="171" spans="1:14" s="7" customFormat="1" ht="12.75" customHeight="1">
      <c r="A171" s="50"/>
      <c r="B171" s="161"/>
      <c r="C171" s="52"/>
      <c r="D171" s="52"/>
      <c r="E171" s="52"/>
      <c r="F171" s="1"/>
      <c r="G171" s="52"/>
      <c r="H171" s="52"/>
      <c r="I171" s="52"/>
      <c r="J171" s="52"/>
      <c r="K171" s="52"/>
      <c r="L171" s="52"/>
      <c r="M171" s="52"/>
      <c r="N171" s="22"/>
    </row>
    <row r="172" spans="1:14" s="7" customFormat="1" ht="57">
      <c r="A172" s="50">
        <v>13</v>
      </c>
      <c r="B172" s="192" t="s">
        <v>101</v>
      </c>
      <c r="C172" s="356">
        <v>11902</v>
      </c>
      <c r="D172" s="356">
        <f>C172</f>
        <v>11902</v>
      </c>
      <c r="E172" s="356">
        <v>0</v>
      </c>
      <c r="F172" s="2">
        <f>D172-E172</f>
        <v>11902</v>
      </c>
      <c r="G172" s="58">
        <f>SUM(H172:M172)</f>
        <v>1063</v>
      </c>
      <c r="H172" s="51">
        <v>1063</v>
      </c>
      <c r="I172" s="51"/>
      <c r="J172" s="51">
        <v>0</v>
      </c>
      <c r="K172" s="51"/>
      <c r="L172" s="51">
        <v>0</v>
      </c>
      <c r="M172" s="51">
        <v>0</v>
      </c>
      <c r="N172" s="22" t="s">
        <v>45</v>
      </c>
    </row>
    <row r="173" spans="1:14" s="7" customFormat="1" ht="27" customHeight="1">
      <c r="A173" s="50"/>
      <c r="B173" s="161" t="s">
        <v>102</v>
      </c>
      <c r="C173" s="51">
        <v>5923</v>
      </c>
      <c r="D173" s="51">
        <f>C173</f>
        <v>5923</v>
      </c>
      <c r="E173" s="51">
        <v>0</v>
      </c>
      <c r="F173" s="2">
        <f>D173-E173</f>
        <v>5923</v>
      </c>
      <c r="G173" s="58">
        <f>SUM(H173:M173)</f>
        <v>529</v>
      </c>
      <c r="H173" s="51">
        <v>529</v>
      </c>
      <c r="I173" s="51"/>
      <c r="J173" s="51">
        <v>0</v>
      </c>
      <c r="K173" s="51"/>
      <c r="L173" s="51">
        <v>0</v>
      </c>
      <c r="M173" s="51">
        <v>0</v>
      </c>
      <c r="N173" s="22"/>
    </row>
    <row r="174" spans="1:14" s="7" customFormat="1" ht="15" customHeight="1">
      <c r="A174" s="50"/>
      <c r="B174" s="161"/>
      <c r="C174" s="52"/>
      <c r="D174" s="52"/>
      <c r="E174" s="52"/>
      <c r="F174" s="1"/>
      <c r="G174" s="52"/>
      <c r="H174" s="52"/>
      <c r="I174" s="52"/>
      <c r="J174" s="52"/>
      <c r="K174" s="52"/>
      <c r="L174" s="52"/>
      <c r="M174" s="52"/>
      <c r="N174" s="22"/>
    </row>
    <row r="175" spans="1:14" s="7" customFormat="1" ht="15" customHeight="1">
      <c r="A175" s="50"/>
      <c r="B175" s="161"/>
      <c r="C175" s="52"/>
      <c r="D175" s="52"/>
      <c r="E175" s="52"/>
      <c r="F175" s="1"/>
      <c r="G175" s="52"/>
      <c r="H175" s="52"/>
      <c r="I175" s="52"/>
      <c r="J175" s="52"/>
      <c r="K175" s="52"/>
      <c r="L175" s="52"/>
      <c r="M175" s="52"/>
      <c r="N175" s="22"/>
    </row>
    <row r="176" spans="1:14" s="7" customFormat="1" ht="42.75">
      <c r="A176" s="50">
        <v>14</v>
      </c>
      <c r="B176" s="192" t="s">
        <v>103</v>
      </c>
      <c r="C176" s="356">
        <v>24564</v>
      </c>
      <c r="D176" s="356">
        <f>C176</f>
        <v>24564</v>
      </c>
      <c r="E176" s="356">
        <v>0</v>
      </c>
      <c r="F176" s="2">
        <f>D176-E176</f>
        <v>24564</v>
      </c>
      <c r="G176" s="58">
        <f>SUM(H176:M176)</f>
        <v>4116</v>
      </c>
      <c r="H176" s="51">
        <v>4116</v>
      </c>
      <c r="I176" s="51"/>
      <c r="J176" s="51">
        <v>0</v>
      </c>
      <c r="K176" s="51"/>
      <c r="L176" s="51">
        <v>0</v>
      </c>
      <c r="M176" s="51">
        <v>0</v>
      </c>
      <c r="N176" s="22" t="s">
        <v>45</v>
      </c>
    </row>
    <row r="177" spans="1:14" s="7" customFormat="1" ht="27" customHeight="1">
      <c r="A177" s="50"/>
      <c r="B177" s="161" t="s">
        <v>104</v>
      </c>
      <c r="C177" s="51">
        <v>13191</v>
      </c>
      <c r="D177" s="51">
        <f>C177</f>
        <v>13191</v>
      </c>
      <c r="E177" s="51">
        <v>0</v>
      </c>
      <c r="F177" s="2">
        <f>D177-E177</f>
        <v>13191</v>
      </c>
      <c r="G177" s="58">
        <f>SUM(H177:M177)</f>
        <v>2210</v>
      </c>
      <c r="H177" s="51">
        <v>2210</v>
      </c>
      <c r="I177" s="51"/>
      <c r="J177" s="51">
        <v>0</v>
      </c>
      <c r="K177" s="51"/>
      <c r="L177" s="51">
        <v>0</v>
      </c>
      <c r="M177" s="51">
        <v>0</v>
      </c>
      <c r="N177" s="22"/>
    </row>
    <row r="178" spans="1:14" s="7" customFormat="1" ht="15.75" customHeight="1">
      <c r="A178" s="50"/>
      <c r="B178" s="161"/>
      <c r="C178" s="52"/>
      <c r="D178" s="52"/>
      <c r="E178" s="52"/>
      <c r="F178" s="1"/>
      <c r="G178" s="52"/>
      <c r="H178" s="52"/>
      <c r="I178" s="52"/>
      <c r="J178" s="52"/>
      <c r="K178" s="52"/>
      <c r="L178" s="52"/>
      <c r="M178" s="52"/>
      <c r="N178" s="22"/>
    </row>
    <row r="179" spans="1:14" s="7" customFormat="1" ht="15.75" customHeight="1">
      <c r="A179" s="50"/>
      <c r="B179" s="161"/>
      <c r="C179" s="52"/>
      <c r="D179" s="52"/>
      <c r="E179" s="52"/>
      <c r="F179" s="1"/>
      <c r="G179" s="52"/>
      <c r="H179" s="52"/>
      <c r="I179" s="52"/>
      <c r="J179" s="52"/>
      <c r="K179" s="52"/>
      <c r="L179" s="52"/>
      <c r="M179" s="52"/>
      <c r="N179" s="22"/>
    </row>
    <row r="180" spans="1:14" s="7" customFormat="1" ht="42.75">
      <c r="A180" s="50">
        <v>15</v>
      </c>
      <c r="B180" s="192" t="s">
        <v>105</v>
      </c>
      <c r="C180" s="356">
        <v>12948</v>
      </c>
      <c r="D180" s="356">
        <f>C180</f>
        <v>12948</v>
      </c>
      <c r="E180" s="356">
        <v>0</v>
      </c>
      <c r="F180" s="2">
        <f>D180-E180</f>
        <v>12948</v>
      </c>
      <c r="G180" s="58">
        <f>SUM(H180:M180)</f>
        <v>2778</v>
      </c>
      <c r="H180" s="51">
        <v>2526</v>
      </c>
      <c r="I180" s="51"/>
      <c r="J180" s="51">
        <v>0</v>
      </c>
      <c r="K180" s="51"/>
      <c r="L180" s="51">
        <f>336-84</f>
        <v>252</v>
      </c>
      <c r="M180" s="51">
        <v>0</v>
      </c>
      <c r="N180" s="22" t="s">
        <v>45</v>
      </c>
    </row>
    <row r="181" spans="1:14" s="7" customFormat="1" ht="27" customHeight="1">
      <c r="A181" s="50"/>
      <c r="B181" s="161" t="s">
        <v>106</v>
      </c>
      <c r="C181" s="51">
        <v>10439</v>
      </c>
      <c r="D181" s="51">
        <f>C181</f>
        <v>10439</v>
      </c>
      <c r="E181" s="51">
        <v>0</v>
      </c>
      <c r="F181" s="2">
        <f>D181-E181</f>
        <v>10439</v>
      </c>
      <c r="G181" s="58">
        <f>SUM(H181:M181)</f>
        <v>2209</v>
      </c>
      <c r="H181" s="51">
        <v>2037</v>
      </c>
      <c r="I181" s="51"/>
      <c r="J181" s="51">
        <v>0</v>
      </c>
      <c r="K181" s="51"/>
      <c r="L181" s="51">
        <v>172</v>
      </c>
      <c r="M181" s="51">
        <v>0</v>
      </c>
      <c r="N181" s="22"/>
    </row>
    <row r="182" spans="1:14" s="7" customFormat="1" ht="15" customHeight="1">
      <c r="A182" s="50"/>
      <c r="B182" s="161"/>
      <c r="C182" s="52"/>
      <c r="D182" s="52"/>
      <c r="E182" s="52"/>
      <c r="F182" s="1"/>
      <c r="G182" s="52"/>
      <c r="H182" s="52"/>
      <c r="I182" s="52"/>
      <c r="J182" s="52"/>
      <c r="K182" s="52"/>
      <c r="L182" s="52"/>
      <c r="M182" s="52"/>
      <c r="N182" s="22"/>
    </row>
    <row r="183" spans="1:14" s="7" customFormat="1" ht="15" customHeight="1">
      <c r="A183" s="50"/>
      <c r="B183" s="161"/>
      <c r="C183" s="52"/>
      <c r="D183" s="52"/>
      <c r="E183" s="52"/>
      <c r="F183" s="1"/>
      <c r="G183" s="52"/>
      <c r="H183" s="52"/>
      <c r="I183" s="52"/>
      <c r="J183" s="52"/>
      <c r="K183" s="52"/>
      <c r="L183" s="52"/>
      <c r="M183" s="52"/>
      <c r="N183" s="22"/>
    </row>
    <row r="184" spans="1:14" s="7" customFormat="1" ht="42.75">
      <c r="A184" s="50">
        <v>16</v>
      </c>
      <c r="B184" s="192" t="s">
        <v>107</v>
      </c>
      <c r="C184" s="356">
        <v>7369</v>
      </c>
      <c r="D184" s="356">
        <f>C184</f>
        <v>7369</v>
      </c>
      <c r="E184" s="356">
        <v>0</v>
      </c>
      <c r="F184" s="2">
        <f>D184-E184</f>
        <v>7369</v>
      </c>
      <c r="G184" s="58">
        <f>SUM(H184:M184)</f>
        <v>2642</v>
      </c>
      <c r="H184" s="51">
        <v>2642</v>
      </c>
      <c r="I184" s="51"/>
      <c r="J184" s="51">
        <v>0</v>
      </c>
      <c r="K184" s="51"/>
      <c r="L184" s="51">
        <v>0</v>
      </c>
      <c r="M184" s="51">
        <v>0</v>
      </c>
      <c r="N184" s="22" t="s">
        <v>45</v>
      </c>
    </row>
    <row r="185" spans="1:14" s="7" customFormat="1" ht="27" customHeight="1">
      <c r="A185" s="50"/>
      <c r="B185" s="161" t="s">
        <v>108</v>
      </c>
      <c r="C185" s="51">
        <v>6434</v>
      </c>
      <c r="D185" s="51">
        <f>C185</f>
        <v>6434</v>
      </c>
      <c r="E185" s="51">
        <v>0</v>
      </c>
      <c r="F185" s="2">
        <f>D185-E185</f>
        <v>6434</v>
      </c>
      <c r="G185" s="58">
        <f>SUM(H185:M185)</f>
        <v>2307</v>
      </c>
      <c r="H185" s="51">
        <v>2307</v>
      </c>
      <c r="I185" s="51"/>
      <c r="J185" s="51">
        <v>0</v>
      </c>
      <c r="K185" s="51"/>
      <c r="L185" s="51">
        <v>0</v>
      </c>
      <c r="M185" s="51">
        <v>0</v>
      </c>
      <c r="N185" s="22"/>
    </row>
    <row r="186" spans="1:14" s="7" customFormat="1" ht="14.25" customHeight="1">
      <c r="A186" s="50"/>
      <c r="B186" s="161"/>
      <c r="C186" s="52"/>
      <c r="D186" s="52"/>
      <c r="E186" s="52"/>
      <c r="F186" s="1"/>
      <c r="G186" s="52"/>
      <c r="H186" s="52"/>
      <c r="I186" s="52"/>
      <c r="J186" s="52"/>
      <c r="K186" s="52"/>
      <c r="L186" s="52"/>
      <c r="M186" s="52"/>
      <c r="N186" s="22"/>
    </row>
    <row r="187" spans="1:14" s="7" customFormat="1" ht="14.25" customHeight="1">
      <c r="A187" s="50"/>
      <c r="B187" s="161"/>
      <c r="C187" s="52"/>
      <c r="D187" s="52"/>
      <c r="E187" s="52"/>
      <c r="F187" s="1"/>
      <c r="G187" s="52"/>
      <c r="H187" s="52"/>
      <c r="I187" s="52"/>
      <c r="J187" s="52"/>
      <c r="K187" s="52"/>
      <c r="L187" s="52"/>
      <c r="M187" s="52"/>
      <c r="N187" s="22"/>
    </row>
    <row r="188" spans="1:14" s="7" customFormat="1" ht="42.75">
      <c r="A188" s="50">
        <v>17</v>
      </c>
      <c r="B188" s="192" t="s">
        <v>109</v>
      </c>
      <c r="C188" s="356">
        <v>8307</v>
      </c>
      <c r="D188" s="356">
        <f>C188</f>
        <v>8307</v>
      </c>
      <c r="E188" s="356">
        <v>0</v>
      </c>
      <c r="F188" s="2">
        <f>D188-E188</f>
        <v>8307</v>
      </c>
      <c r="G188" s="58">
        <f>SUM(H188:M188)</f>
        <v>2308</v>
      </c>
      <c r="H188" s="51">
        <v>2308</v>
      </c>
      <c r="I188" s="51"/>
      <c r="J188" s="51">
        <v>0</v>
      </c>
      <c r="K188" s="51"/>
      <c r="L188" s="51">
        <v>0</v>
      </c>
      <c r="M188" s="51">
        <v>0</v>
      </c>
      <c r="N188" s="22" t="s">
        <v>45</v>
      </c>
    </row>
    <row r="189" spans="1:14" s="7" customFormat="1" ht="27" customHeight="1">
      <c r="A189" s="50"/>
      <c r="B189" s="161" t="s">
        <v>110</v>
      </c>
      <c r="C189" s="51">
        <v>5924</v>
      </c>
      <c r="D189" s="51">
        <f>C189</f>
        <v>5924</v>
      </c>
      <c r="E189" s="51">
        <v>0</v>
      </c>
      <c r="F189" s="2">
        <f>D189-E189</f>
        <v>5924</v>
      </c>
      <c r="G189" s="58">
        <f>SUM(H189:M189)</f>
        <v>1646</v>
      </c>
      <c r="H189" s="51">
        <v>1646</v>
      </c>
      <c r="I189" s="51"/>
      <c r="J189" s="51">
        <v>0</v>
      </c>
      <c r="K189" s="51"/>
      <c r="L189" s="51">
        <v>0</v>
      </c>
      <c r="M189" s="51">
        <v>0</v>
      </c>
      <c r="N189" s="22"/>
    </row>
    <row r="190" spans="1:14" s="7" customFormat="1" ht="19.5" customHeight="1">
      <c r="A190" s="50"/>
      <c r="B190" s="161"/>
      <c r="C190" s="52"/>
      <c r="D190" s="52"/>
      <c r="E190" s="52"/>
      <c r="F190" s="1"/>
      <c r="G190" s="52"/>
      <c r="H190" s="52"/>
      <c r="I190" s="52"/>
      <c r="J190" s="52"/>
      <c r="K190" s="52"/>
      <c r="L190" s="52"/>
      <c r="M190" s="52"/>
      <c r="N190" s="22"/>
    </row>
    <row r="191" spans="1:14" s="7" customFormat="1" ht="19.5" customHeight="1">
      <c r="A191" s="50"/>
      <c r="B191" s="161"/>
      <c r="C191" s="52"/>
      <c r="D191" s="52"/>
      <c r="E191" s="52"/>
      <c r="F191" s="1"/>
      <c r="G191" s="52"/>
      <c r="H191" s="52"/>
      <c r="I191" s="52"/>
      <c r="J191" s="52"/>
      <c r="K191" s="52"/>
      <c r="L191" s="52"/>
      <c r="M191" s="52"/>
      <c r="N191" s="22"/>
    </row>
    <row r="192" spans="1:14" s="7" customFormat="1" ht="42.75">
      <c r="A192" s="50">
        <v>18</v>
      </c>
      <c r="B192" s="192" t="s">
        <v>111</v>
      </c>
      <c r="C192" s="356">
        <v>9891</v>
      </c>
      <c r="D192" s="356">
        <f>C192</f>
        <v>9891</v>
      </c>
      <c r="E192" s="356">
        <v>0</v>
      </c>
      <c r="F192" s="2">
        <f>D192-E192</f>
        <v>9891</v>
      </c>
      <c r="G192" s="58">
        <f>SUM(H192:M192)</f>
        <v>2291</v>
      </c>
      <c r="H192" s="51">
        <v>1623</v>
      </c>
      <c r="I192" s="51"/>
      <c r="J192" s="51">
        <v>0</v>
      </c>
      <c r="K192" s="51"/>
      <c r="L192" s="51">
        <v>668</v>
      </c>
      <c r="M192" s="51">
        <v>0</v>
      </c>
      <c r="N192" s="22" t="s">
        <v>45</v>
      </c>
    </row>
    <row r="193" spans="1:14" s="7" customFormat="1" ht="27" customHeight="1">
      <c r="A193" s="50"/>
      <c r="B193" s="161" t="s">
        <v>112</v>
      </c>
      <c r="C193" s="51">
        <v>7873</v>
      </c>
      <c r="D193" s="51">
        <f>C193</f>
        <v>7873</v>
      </c>
      <c r="E193" s="51">
        <v>0</v>
      </c>
      <c r="F193" s="2">
        <f>D193-E193</f>
        <v>7873</v>
      </c>
      <c r="G193" s="58">
        <f>SUM(H193:M193)</f>
        <v>1824</v>
      </c>
      <c r="H193" s="51">
        <v>1292</v>
      </c>
      <c r="I193" s="51"/>
      <c r="J193" s="51">
        <v>0</v>
      </c>
      <c r="K193" s="51"/>
      <c r="L193" s="51">
        <v>532</v>
      </c>
      <c r="M193" s="51">
        <v>0</v>
      </c>
      <c r="N193" s="22"/>
    </row>
    <row r="194" spans="1:14" s="7" customFormat="1" ht="21.75" customHeight="1">
      <c r="A194" s="50"/>
      <c r="B194" s="171"/>
      <c r="C194" s="52"/>
      <c r="D194" s="52"/>
      <c r="E194" s="52"/>
      <c r="F194" s="1"/>
      <c r="G194" s="202"/>
      <c r="H194" s="52"/>
      <c r="I194" s="52"/>
      <c r="J194" s="52"/>
      <c r="K194" s="52"/>
      <c r="L194" s="52"/>
      <c r="M194" s="52"/>
      <c r="N194" s="22"/>
    </row>
    <row r="195" spans="1:14" s="7" customFormat="1" ht="21.75" customHeight="1">
      <c r="A195" s="50"/>
      <c r="B195" s="171"/>
      <c r="C195" s="52"/>
      <c r="D195" s="52"/>
      <c r="E195" s="52"/>
      <c r="F195" s="1"/>
      <c r="G195" s="202"/>
      <c r="H195" s="52"/>
      <c r="I195" s="52"/>
      <c r="J195" s="52"/>
      <c r="K195" s="52"/>
      <c r="L195" s="52"/>
      <c r="M195" s="52"/>
      <c r="N195" s="22"/>
    </row>
    <row r="196" spans="1:14" s="7" customFormat="1" ht="42.75">
      <c r="A196" s="50">
        <v>19</v>
      </c>
      <c r="B196" s="192" t="s">
        <v>113</v>
      </c>
      <c r="C196" s="356">
        <v>10214</v>
      </c>
      <c r="D196" s="356">
        <f>C196</f>
        <v>10214</v>
      </c>
      <c r="E196" s="356">
        <v>0</v>
      </c>
      <c r="F196" s="2">
        <f>D196-E196</f>
        <v>10214</v>
      </c>
      <c r="G196" s="58">
        <f>SUM(H196:M196)</f>
        <v>2327</v>
      </c>
      <c r="H196" s="51">
        <v>1745</v>
      </c>
      <c r="I196" s="51"/>
      <c r="J196" s="51">
        <v>0</v>
      </c>
      <c r="K196" s="51"/>
      <c r="L196" s="51">
        <v>582</v>
      </c>
      <c r="M196" s="51">
        <v>0</v>
      </c>
      <c r="N196" s="22" t="s">
        <v>45</v>
      </c>
    </row>
    <row r="197" spans="1:14" s="7" customFormat="1" ht="26.25" customHeight="1">
      <c r="A197" s="50"/>
      <c r="B197" s="161" t="s">
        <v>114</v>
      </c>
      <c r="C197" s="51">
        <v>7841</v>
      </c>
      <c r="D197" s="51">
        <f>C197</f>
        <v>7841</v>
      </c>
      <c r="E197" s="51">
        <v>0</v>
      </c>
      <c r="F197" s="2">
        <f>D197-E197</f>
        <v>7841</v>
      </c>
      <c r="G197" s="58">
        <f>SUM(H197:M197)</f>
        <v>1787</v>
      </c>
      <c r="H197" s="51">
        <v>1340</v>
      </c>
      <c r="I197" s="51"/>
      <c r="J197" s="51">
        <v>0</v>
      </c>
      <c r="K197" s="51"/>
      <c r="L197" s="51">
        <v>447</v>
      </c>
      <c r="M197" s="51">
        <v>0</v>
      </c>
      <c r="N197" s="22"/>
    </row>
    <row r="198" spans="1:14" s="7" customFormat="1" ht="18.75" customHeight="1">
      <c r="A198" s="50"/>
      <c r="B198" s="171"/>
      <c r="C198" s="52"/>
      <c r="D198" s="52"/>
      <c r="E198" s="52"/>
      <c r="F198" s="1"/>
      <c r="G198" s="202"/>
      <c r="H198" s="52"/>
      <c r="I198" s="52"/>
      <c r="J198" s="52"/>
      <c r="K198" s="52"/>
      <c r="L198" s="52"/>
      <c r="M198" s="52"/>
      <c r="N198" s="22"/>
    </row>
    <row r="199" spans="1:14" s="7" customFormat="1" ht="18.75" customHeight="1">
      <c r="A199" s="50"/>
      <c r="B199" s="171"/>
      <c r="C199" s="52"/>
      <c r="D199" s="52"/>
      <c r="E199" s="52"/>
      <c r="F199" s="1"/>
      <c r="G199" s="202"/>
      <c r="H199" s="52"/>
      <c r="I199" s="52"/>
      <c r="J199" s="52"/>
      <c r="K199" s="52"/>
      <c r="L199" s="52"/>
      <c r="M199" s="52"/>
      <c r="N199" s="22"/>
    </row>
    <row r="200" spans="1:14" s="7" customFormat="1" ht="42.75">
      <c r="A200" s="50">
        <v>20</v>
      </c>
      <c r="B200" s="192" t="s">
        <v>115</v>
      </c>
      <c r="C200" s="356">
        <v>1732</v>
      </c>
      <c r="D200" s="356">
        <f>C200</f>
        <v>1732</v>
      </c>
      <c r="E200" s="356">
        <v>0</v>
      </c>
      <c r="F200" s="2">
        <f>D200-E200</f>
        <v>1732</v>
      </c>
      <c r="G200" s="58">
        <f>SUM(H200:M200)</f>
        <v>544</v>
      </c>
      <c r="H200" s="51">
        <v>544</v>
      </c>
      <c r="I200" s="51"/>
      <c r="J200" s="51">
        <v>0</v>
      </c>
      <c r="K200" s="51"/>
      <c r="L200" s="51">
        <v>0</v>
      </c>
      <c r="M200" s="51">
        <v>0</v>
      </c>
      <c r="N200" s="22" t="s">
        <v>45</v>
      </c>
    </row>
    <row r="201" spans="1:14" s="7" customFormat="1" ht="27" customHeight="1">
      <c r="A201" s="50"/>
      <c r="B201" s="161" t="s">
        <v>116</v>
      </c>
      <c r="C201" s="51">
        <v>1377</v>
      </c>
      <c r="D201" s="51">
        <f>C201</f>
        <v>1377</v>
      </c>
      <c r="E201" s="51">
        <v>0</v>
      </c>
      <c r="F201" s="2">
        <f>D201-E201</f>
        <v>1377</v>
      </c>
      <c r="G201" s="58">
        <f>SUM(H201:M201)</f>
        <v>432</v>
      </c>
      <c r="H201" s="51">
        <v>432</v>
      </c>
      <c r="I201" s="51"/>
      <c r="J201" s="51">
        <v>0</v>
      </c>
      <c r="K201" s="51"/>
      <c r="L201" s="51">
        <v>0</v>
      </c>
      <c r="M201" s="51">
        <v>0</v>
      </c>
      <c r="N201" s="22"/>
    </row>
    <row r="202" spans="1:14" s="7" customFormat="1" ht="27" customHeight="1">
      <c r="A202" s="50"/>
      <c r="B202" s="161"/>
      <c r="C202" s="52"/>
      <c r="D202" s="52"/>
      <c r="E202" s="52"/>
      <c r="F202" s="1"/>
      <c r="G202" s="202"/>
      <c r="H202" s="52"/>
      <c r="I202" s="52"/>
      <c r="J202" s="52"/>
      <c r="K202" s="52"/>
      <c r="L202" s="52"/>
      <c r="M202" s="52"/>
      <c r="N202" s="22"/>
    </row>
    <row r="203" spans="1:14" s="7" customFormat="1" ht="27" customHeight="1">
      <c r="A203" s="50"/>
      <c r="B203" s="161"/>
      <c r="C203" s="52"/>
      <c r="D203" s="52"/>
      <c r="E203" s="52"/>
      <c r="F203" s="1"/>
      <c r="G203" s="202"/>
      <c r="H203" s="52"/>
      <c r="I203" s="52"/>
      <c r="J203" s="52"/>
      <c r="K203" s="52"/>
      <c r="L203" s="52"/>
      <c r="M203" s="52"/>
      <c r="N203" s="22"/>
    </row>
    <row r="204" spans="1:14" s="7" customFormat="1" ht="42.75">
      <c r="A204" s="50">
        <v>21</v>
      </c>
      <c r="B204" s="192" t="s">
        <v>117</v>
      </c>
      <c r="C204" s="356">
        <v>4019</v>
      </c>
      <c r="D204" s="356">
        <f>C204</f>
        <v>4019</v>
      </c>
      <c r="E204" s="356">
        <v>0</v>
      </c>
      <c r="F204" s="2">
        <f>D204-E204</f>
        <v>4019</v>
      </c>
      <c r="G204" s="58">
        <f>SUM(H204:M204)</f>
        <v>1534</v>
      </c>
      <c r="H204" s="51">
        <v>1515</v>
      </c>
      <c r="I204" s="51"/>
      <c r="J204" s="51">
        <v>0</v>
      </c>
      <c r="K204" s="51"/>
      <c r="L204" s="51">
        <v>19</v>
      </c>
      <c r="M204" s="51">
        <v>0</v>
      </c>
      <c r="N204" s="22" t="s">
        <v>45</v>
      </c>
    </row>
    <row r="205" spans="1:14" s="7" customFormat="1" ht="27" customHeight="1">
      <c r="A205" s="50"/>
      <c r="B205" s="161" t="s">
        <v>118</v>
      </c>
      <c r="C205" s="51">
        <v>2464</v>
      </c>
      <c r="D205" s="51">
        <f>C205</f>
        <v>2464</v>
      </c>
      <c r="E205" s="51">
        <v>0</v>
      </c>
      <c r="F205" s="2">
        <f>D205-E205</f>
        <v>2464</v>
      </c>
      <c r="G205" s="58">
        <f>SUM(H205:M205)</f>
        <v>941</v>
      </c>
      <c r="H205" s="51">
        <v>929</v>
      </c>
      <c r="I205" s="51"/>
      <c r="J205" s="51">
        <v>0</v>
      </c>
      <c r="K205" s="51"/>
      <c r="L205" s="51">
        <v>12</v>
      </c>
      <c r="M205" s="51">
        <v>0</v>
      </c>
      <c r="N205" s="22"/>
    </row>
    <row r="206" spans="1:14" s="7" customFormat="1" ht="27" customHeight="1">
      <c r="A206" s="50"/>
      <c r="B206" s="161"/>
      <c r="C206" s="52"/>
      <c r="D206" s="52"/>
      <c r="E206" s="52"/>
      <c r="F206" s="1"/>
      <c r="G206" s="202"/>
      <c r="H206" s="52"/>
      <c r="I206" s="52"/>
      <c r="J206" s="52"/>
      <c r="K206" s="52"/>
      <c r="L206" s="52"/>
      <c r="M206" s="52"/>
      <c r="N206" s="22"/>
    </row>
    <row r="207" spans="1:14" s="7" customFormat="1" ht="27" customHeight="1">
      <c r="A207" s="50"/>
      <c r="B207" s="161"/>
      <c r="C207" s="52"/>
      <c r="D207" s="52"/>
      <c r="E207" s="52"/>
      <c r="F207" s="1"/>
      <c r="G207" s="202"/>
      <c r="H207" s="52"/>
      <c r="I207" s="52"/>
      <c r="J207" s="52"/>
      <c r="K207" s="52"/>
      <c r="L207" s="52"/>
      <c r="M207" s="52"/>
      <c r="N207" s="22"/>
    </row>
    <row r="208" spans="1:14" s="7" customFormat="1" ht="42.75">
      <c r="A208" s="50">
        <v>22</v>
      </c>
      <c r="B208" s="192" t="s">
        <v>119</v>
      </c>
      <c r="C208" s="356">
        <v>13609</v>
      </c>
      <c r="D208" s="356">
        <f>C208</f>
        <v>13609</v>
      </c>
      <c r="E208" s="356">
        <v>0</v>
      </c>
      <c r="F208" s="2">
        <f>D208-E208</f>
        <v>13609</v>
      </c>
      <c r="G208" s="58">
        <f>SUM(H208:M208)</f>
        <v>3202</v>
      </c>
      <c r="H208" s="51">
        <v>2715</v>
      </c>
      <c r="I208" s="51"/>
      <c r="J208" s="51">
        <v>0</v>
      </c>
      <c r="K208" s="51"/>
      <c r="L208" s="51">
        <v>487</v>
      </c>
      <c r="M208" s="51">
        <v>0</v>
      </c>
      <c r="N208" s="22" t="s">
        <v>45</v>
      </c>
    </row>
    <row r="209" spans="1:14" s="7" customFormat="1" ht="27" customHeight="1">
      <c r="A209" s="50"/>
      <c r="B209" s="161" t="s">
        <v>120</v>
      </c>
      <c r="C209" s="51">
        <v>10882</v>
      </c>
      <c r="D209" s="51">
        <f>C209</f>
        <v>10882</v>
      </c>
      <c r="E209" s="51">
        <v>0</v>
      </c>
      <c r="F209" s="2">
        <f>D209-E209</f>
        <v>10882</v>
      </c>
      <c r="G209" s="58">
        <f>SUM(H209:M209)</f>
        <v>2560</v>
      </c>
      <c r="H209" s="51">
        <v>2171</v>
      </c>
      <c r="I209" s="51"/>
      <c r="J209" s="51">
        <v>0</v>
      </c>
      <c r="K209" s="51"/>
      <c r="L209" s="51">
        <v>389</v>
      </c>
      <c r="M209" s="51">
        <v>0</v>
      </c>
      <c r="N209" s="22"/>
    </row>
    <row r="210" spans="1:14" s="7" customFormat="1" ht="27" customHeight="1">
      <c r="A210" s="50"/>
      <c r="B210" s="161"/>
      <c r="C210" s="52"/>
      <c r="D210" s="52"/>
      <c r="E210" s="52"/>
      <c r="F210" s="1"/>
      <c r="G210" s="202"/>
      <c r="H210" s="52"/>
      <c r="I210" s="52"/>
      <c r="J210" s="52"/>
      <c r="K210" s="52"/>
      <c r="L210" s="52"/>
      <c r="M210" s="52"/>
      <c r="N210" s="22"/>
    </row>
    <row r="211" spans="1:14" s="7" customFormat="1" ht="25.5" customHeight="1">
      <c r="A211" s="50" t="s">
        <v>37</v>
      </c>
      <c r="B211" s="34" t="s">
        <v>60</v>
      </c>
      <c r="C211" s="274">
        <f>C214+C215+C216</f>
        <v>98328</v>
      </c>
      <c r="D211" s="274">
        <f>D214+D215+D216</f>
        <v>98328</v>
      </c>
      <c r="E211" s="274">
        <f>E214+E215+E216</f>
        <v>7498</v>
      </c>
      <c r="F211" s="274">
        <f>F214+F215+F216</f>
        <v>90830</v>
      </c>
      <c r="G211" s="274">
        <f t="shared" ref="G211:M211" si="21">G214+G215+G216</f>
        <v>90359</v>
      </c>
      <c r="H211" s="274">
        <f t="shared" si="21"/>
        <v>84497</v>
      </c>
      <c r="I211" s="274">
        <f t="shared" si="21"/>
        <v>0</v>
      </c>
      <c r="J211" s="274">
        <f t="shared" si="21"/>
        <v>32</v>
      </c>
      <c r="K211" s="274">
        <f t="shared" si="21"/>
        <v>0</v>
      </c>
      <c r="L211" s="274">
        <f>L214+L215+L216</f>
        <v>5830</v>
      </c>
      <c r="M211" s="274">
        <f t="shared" si="21"/>
        <v>0</v>
      </c>
      <c r="N211" s="55"/>
    </row>
    <row r="212" spans="1:14" s="7" customFormat="1" ht="25.5" customHeight="1">
      <c r="A212" s="50"/>
      <c r="B212" s="35" t="s">
        <v>61</v>
      </c>
      <c r="C212" s="274">
        <v>0</v>
      </c>
      <c r="D212" s="274">
        <v>0</v>
      </c>
      <c r="E212" s="274">
        <v>0</v>
      </c>
      <c r="F212" s="274">
        <v>0</v>
      </c>
      <c r="G212" s="274">
        <v>0</v>
      </c>
      <c r="H212" s="274">
        <v>0</v>
      </c>
      <c r="I212" s="274">
        <v>0</v>
      </c>
      <c r="J212" s="274">
        <v>0</v>
      </c>
      <c r="K212" s="274">
        <v>0</v>
      </c>
      <c r="L212" s="274">
        <v>0</v>
      </c>
      <c r="M212" s="274">
        <v>0</v>
      </c>
      <c r="N212" s="55"/>
    </row>
    <row r="213" spans="1:14" s="7" customFormat="1" ht="25.5" customHeight="1">
      <c r="A213" s="50"/>
      <c r="B213" s="16" t="s">
        <v>42</v>
      </c>
      <c r="C213" s="52"/>
      <c r="D213" s="52"/>
      <c r="E213" s="52"/>
      <c r="F213" s="52"/>
      <c r="G213" s="52"/>
      <c r="H213" s="52"/>
      <c r="I213" s="52"/>
      <c r="J213" s="52"/>
      <c r="K213" s="52"/>
      <c r="L213" s="52"/>
      <c r="M213" s="52"/>
      <c r="N213" s="55"/>
    </row>
    <row r="214" spans="1:14" s="7" customFormat="1" ht="25.5" customHeight="1">
      <c r="A214" s="50"/>
      <c r="B214" s="23" t="s">
        <v>62</v>
      </c>
      <c r="C214" s="52">
        <f>'A3 - STUDII SI PROIECTE 2024'!D99</f>
        <v>18597</v>
      </c>
      <c r="D214" s="52">
        <f>'A3 - STUDII SI PROIECTE 2024'!E99</f>
        <v>18597</v>
      </c>
      <c r="E214" s="52">
        <f>'A3 - STUDII SI PROIECTE 2024'!F99</f>
        <v>7464</v>
      </c>
      <c r="F214" s="52">
        <f>'A3 - STUDII SI PROIECTE 2024'!G99</f>
        <v>11133</v>
      </c>
      <c r="G214" s="202">
        <f>'A3 - STUDII SI PROIECTE 2024'!H99</f>
        <v>11133</v>
      </c>
      <c r="H214" s="52">
        <f>'A3 - STUDII SI PROIECTE 2024'!I99</f>
        <v>5493</v>
      </c>
      <c r="I214" s="52">
        <f>'A3 - STUDII SI PROIECTE 2024'!J99</f>
        <v>0</v>
      </c>
      <c r="J214" s="52">
        <f>'A3 - STUDII SI PROIECTE 2024'!K99</f>
        <v>22</v>
      </c>
      <c r="K214" s="52">
        <f>'A3 - STUDII SI PROIECTE 2024'!L99</f>
        <v>0</v>
      </c>
      <c r="L214" s="52">
        <f>'A3 - STUDII SI PROIECTE 2024'!M99</f>
        <v>5618</v>
      </c>
      <c r="M214" s="52">
        <f>'A3 - STUDII SI PROIECTE 2024'!N99</f>
        <v>0</v>
      </c>
      <c r="N214" s="55"/>
    </row>
    <row r="215" spans="1:14" s="7" customFormat="1" ht="25.5" customHeight="1">
      <c r="A215" s="50"/>
      <c r="B215" s="23" t="s">
        <v>121</v>
      </c>
      <c r="C215" s="52">
        <f>'A3 - DOTARI 2024'!D72</f>
        <v>79505</v>
      </c>
      <c r="D215" s="52">
        <f>'A3 - DOTARI 2024'!E72</f>
        <v>79505</v>
      </c>
      <c r="E215" s="52">
        <f>'A3 - DOTARI 2024'!F72</f>
        <v>0</v>
      </c>
      <c r="F215" s="52">
        <f>'A3 - DOTARI 2024'!G72</f>
        <v>79505</v>
      </c>
      <c r="G215" s="202">
        <f>'A3 - DOTARI 2024'!H72</f>
        <v>79034</v>
      </c>
      <c r="H215" s="52">
        <f>'A3 - DOTARI 2024'!I72</f>
        <v>79004</v>
      </c>
      <c r="I215" s="52">
        <f>'A3 - DOTARI 2024'!J72</f>
        <v>0</v>
      </c>
      <c r="J215" s="52">
        <f>'A3 - DOTARI 2024'!K72</f>
        <v>10</v>
      </c>
      <c r="K215" s="52">
        <f>'A3 - DOTARI 2024'!L72</f>
        <v>0</v>
      </c>
      <c r="L215" s="52">
        <f>'A3 - DOTARI 2024'!M72</f>
        <v>20</v>
      </c>
      <c r="M215" s="52">
        <f>'A3 - DOTARI 2024'!N72</f>
        <v>0</v>
      </c>
      <c r="N215" s="55"/>
    </row>
    <row r="216" spans="1:14" s="7" customFormat="1" ht="25.5" customHeight="1">
      <c r="A216" s="50"/>
      <c r="B216" s="23" t="s">
        <v>67</v>
      </c>
      <c r="C216" s="52">
        <f>'A3 - ALTE CHELTUIELI 2024'!D24</f>
        <v>226</v>
      </c>
      <c r="D216" s="52">
        <f>'A3 - ALTE CHELTUIELI 2024'!E24</f>
        <v>226</v>
      </c>
      <c r="E216" s="52">
        <f>'A3 - ALTE CHELTUIELI 2024'!F24</f>
        <v>34</v>
      </c>
      <c r="F216" s="52">
        <f>'A3 - ALTE CHELTUIELI 2024'!G24</f>
        <v>192</v>
      </c>
      <c r="G216" s="202">
        <f>'A3 - ALTE CHELTUIELI 2024'!H24</f>
        <v>192</v>
      </c>
      <c r="H216" s="52">
        <f>'A3 - ALTE CHELTUIELI 2024'!I24</f>
        <v>0</v>
      </c>
      <c r="I216" s="52">
        <f>'A3 - ALTE CHELTUIELI 2024'!J24</f>
        <v>0</v>
      </c>
      <c r="J216" s="52">
        <f>'A3 - ALTE CHELTUIELI 2024'!K24</f>
        <v>0</v>
      </c>
      <c r="K216" s="52">
        <f>'A3 - ALTE CHELTUIELI 2024'!L24</f>
        <v>0</v>
      </c>
      <c r="L216" s="52">
        <f>'A3 - ALTE CHELTUIELI 2024'!M24</f>
        <v>192</v>
      </c>
      <c r="M216" s="52">
        <f>'A3 - ALTE CHELTUIELI 2024'!N24</f>
        <v>0</v>
      </c>
      <c r="N216" s="55"/>
    </row>
    <row r="217" spans="1:14" s="7" customFormat="1" ht="18" customHeight="1">
      <c r="A217" s="50"/>
      <c r="B217" s="23"/>
      <c r="C217" s="52"/>
      <c r="D217" s="52"/>
      <c r="E217" s="52"/>
      <c r="F217" s="52"/>
      <c r="G217" s="52"/>
      <c r="H217" s="52"/>
      <c r="I217" s="52"/>
      <c r="J217" s="52"/>
      <c r="K217" s="52"/>
      <c r="L217" s="52"/>
      <c r="M217" s="52"/>
      <c r="N217" s="55"/>
    </row>
    <row r="218" spans="1:14" s="7" customFormat="1" ht="18" customHeight="1">
      <c r="A218" s="50"/>
      <c r="B218" s="23"/>
      <c r="C218" s="52"/>
      <c r="D218" s="52"/>
      <c r="E218" s="52"/>
      <c r="F218" s="52"/>
      <c r="G218" s="202"/>
      <c r="H218" s="202"/>
      <c r="I218" s="202"/>
      <c r="J218" s="202"/>
      <c r="K218" s="202"/>
      <c r="L218" s="202"/>
      <c r="M218" s="202"/>
      <c r="N218" s="55"/>
    </row>
    <row r="219" spans="1:14" s="7" customFormat="1" ht="18" customHeight="1">
      <c r="A219" s="50"/>
      <c r="B219" s="23"/>
      <c r="C219" s="52"/>
      <c r="D219" s="52"/>
      <c r="E219" s="52"/>
      <c r="F219" s="52"/>
      <c r="G219" s="202"/>
      <c r="H219" s="202"/>
      <c r="I219" s="202"/>
      <c r="J219" s="202"/>
      <c r="K219" s="202"/>
      <c r="L219" s="202"/>
      <c r="M219" s="202"/>
      <c r="N219" s="55"/>
    </row>
    <row r="220" spans="1:14" s="7" customFormat="1" ht="18" customHeight="1">
      <c r="A220" s="50"/>
      <c r="B220" s="23"/>
      <c r="C220" s="52"/>
      <c r="D220" s="52"/>
      <c r="E220" s="52"/>
      <c r="F220" s="52"/>
      <c r="G220" s="202"/>
      <c r="H220" s="202"/>
      <c r="I220" s="202"/>
      <c r="J220" s="202"/>
      <c r="K220" s="202"/>
      <c r="L220" s="202"/>
      <c r="M220" s="202"/>
      <c r="N220" s="55"/>
    </row>
    <row r="221" spans="1:14" s="7" customFormat="1" ht="18" customHeight="1">
      <c r="A221" s="50"/>
      <c r="B221" s="23"/>
      <c r="C221" s="52"/>
      <c r="D221" s="52"/>
      <c r="E221" s="52"/>
      <c r="F221" s="52"/>
      <c r="G221" s="202"/>
      <c r="H221" s="202"/>
      <c r="I221" s="202"/>
      <c r="J221" s="202"/>
      <c r="K221" s="202"/>
      <c r="L221" s="202"/>
      <c r="M221" s="202"/>
      <c r="N221" s="55"/>
    </row>
    <row r="222" spans="1:14" s="7" customFormat="1" ht="18" customHeight="1">
      <c r="A222" s="50"/>
      <c r="B222" s="23"/>
      <c r="C222" s="52"/>
      <c r="D222" s="52"/>
      <c r="E222" s="52"/>
      <c r="F222" s="52"/>
      <c r="G222" s="202"/>
      <c r="H222" s="202"/>
      <c r="I222" s="202"/>
      <c r="J222" s="202"/>
      <c r="K222" s="202"/>
      <c r="L222" s="202"/>
      <c r="M222" s="202"/>
      <c r="N222" s="55"/>
    </row>
    <row r="223" spans="1:14" s="7" customFormat="1" ht="18" customHeight="1">
      <c r="A223" s="50"/>
      <c r="B223" s="23"/>
      <c r="C223" s="52"/>
      <c r="D223" s="52"/>
      <c r="E223" s="52"/>
      <c r="F223" s="52"/>
      <c r="G223" s="202"/>
      <c r="H223" s="202"/>
      <c r="I223" s="202"/>
      <c r="J223" s="202"/>
      <c r="K223" s="202"/>
      <c r="L223" s="202"/>
      <c r="M223" s="202"/>
      <c r="N223" s="55"/>
    </row>
    <row r="224" spans="1:14" s="7" customFormat="1" ht="18" customHeight="1">
      <c r="A224" s="50"/>
      <c r="B224" s="23"/>
      <c r="C224" s="52"/>
      <c r="D224" s="52"/>
      <c r="E224" s="52"/>
      <c r="F224" s="52"/>
      <c r="G224" s="202"/>
      <c r="H224" s="202"/>
      <c r="I224" s="202"/>
      <c r="J224" s="202"/>
      <c r="K224" s="202"/>
      <c r="L224" s="202"/>
      <c r="M224" s="202"/>
      <c r="N224" s="55"/>
    </row>
    <row r="225" spans="1:14" s="7" customFormat="1" ht="33.75" customHeight="1">
      <c r="A225" s="277"/>
      <c r="B225" s="57" t="s">
        <v>122</v>
      </c>
      <c r="C225" s="9" t="s">
        <v>123</v>
      </c>
      <c r="D225" s="9"/>
      <c r="E225" s="9"/>
      <c r="F225" s="9"/>
      <c r="G225" s="9"/>
      <c r="H225" s="9"/>
      <c r="I225" s="9"/>
      <c r="J225" s="9"/>
      <c r="K225" s="9"/>
      <c r="L225" s="104"/>
      <c r="M225" s="9" t="s">
        <v>41</v>
      </c>
      <c r="N225" s="55"/>
    </row>
    <row r="226" spans="1:14" s="7" customFormat="1" ht="20.25" customHeight="1">
      <c r="A226" s="50"/>
      <c r="B226" s="16" t="s">
        <v>42</v>
      </c>
      <c r="C226" s="58">
        <f>C229+C232+C243</f>
        <v>769038</v>
      </c>
      <c r="D226" s="58">
        <f t="shared" ref="D226:M226" si="22">D229+D232+D243</f>
        <v>769038</v>
      </c>
      <c r="E226" s="58">
        <f t="shared" si="22"/>
        <v>495</v>
      </c>
      <c r="F226" s="58">
        <f t="shared" si="22"/>
        <v>768543</v>
      </c>
      <c r="G226" s="58">
        <f t="shared" si="22"/>
        <v>93283</v>
      </c>
      <c r="H226" s="58">
        <f t="shared" si="22"/>
        <v>87110</v>
      </c>
      <c r="I226" s="58">
        <f t="shared" si="22"/>
        <v>0</v>
      </c>
      <c r="J226" s="58">
        <f t="shared" si="22"/>
        <v>0</v>
      </c>
      <c r="K226" s="58">
        <f t="shared" si="22"/>
        <v>1504</v>
      </c>
      <c r="L226" s="58">
        <f t="shared" si="22"/>
        <v>4669</v>
      </c>
      <c r="M226" s="58">
        <f t="shared" si="22"/>
        <v>0</v>
      </c>
      <c r="N226" s="55"/>
    </row>
    <row r="227" spans="1:14" s="7" customFormat="1" ht="20.25" customHeight="1">
      <c r="A227" s="50"/>
      <c r="B227" s="23"/>
      <c r="C227" s="58">
        <f>C230+C233+C244</f>
        <v>296727</v>
      </c>
      <c r="D227" s="58">
        <f t="shared" ref="D227:M227" si="23">D230+D233+D244</f>
        <v>296727</v>
      </c>
      <c r="E227" s="58">
        <f t="shared" si="23"/>
        <v>0</v>
      </c>
      <c r="F227" s="58">
        <f t="shared" si="23"/>
        <v>296727</v>
      </c>
      <c r="G227" s="58">
        <f t="shared" si="23"/>
        <v>29154</v>
      </c>
      <c r="H227" s="58">
        <f t="shared" si="23"/>
        <v>27594</v>
      </c>
      <c r="I227" s="58">
        <f t="shared" si="23"/>
        <v>0</v>
      </c>
      <c r="J227" s="58">
        <f t="shared" si="23"/>
        <v>0</v>
      </c>
      <c r="K227" s="58">
        <f t="shared" si="23"/>
        <v>0</v>
      </c>
      <c r="L227" s="58">
        <f t="shared" si="23"/>
        <v>1560</v>
      </c>
      <c r="M227" s="58">
        <f t="shared" si="23"/>
        <v>0</v>
      </c>
      <c r="N227" s="55"/>
    </row>
    <row r="228" spans="1:14" s="7" customFormat="1" ht="20.25" customHeight="1">
      <c r="A228" s="50"/>
      <c r="B228" s="23"/>
      <c r="C228" s="52"/>
      <c r="D228" s="52"/>
      <c r="E228" s="52"/>
      <c r="F228" s="52"/>
      <c r="G228" s="202"/>
      <c r="H228" s="202"/>
      <c r="I228" s="202"/>
      <c r="J228" s="202"/>
      <c r="K228" s="202"/>
      <c r="L228" s="202"/>
      <c r="M228" s="52"/>
      <c r="N228" s="55"/>
    </row>
    <row r="229" spans="1:14" s="7" customFormat="1" ht="19.5" customHeight="1">
      <c r="A229" s="50" t="s">
        <v>70</v>
      </c>
      <c r="B229" s="34" t="s">
        <v>43</v>
      </c>
      <c r="C229" s="58">
        <v>0</v>
      </c>
      <c r="D229" s="58">
        <v>0</v>
      </c>
      <c r="E229" s="58">
        <v>0</v>
      </c>
      <c r="F229" s="58">
        <v>0</v>
      </c>
      <c r="G229" s="58">
        <v>0</v>
      </c>
      <c r="H229" s="58">
        <v>0</v>
      </c>
      <c r="I229" s="58">
        <v>0</v>
      </c>
      <c r="J229" s="58">
        <v>0</v>
      </c>
      <c r="K229" s="58">
        <v>0</v>
      </c>
      <c r="L229" s="58">
        <v>0</v>
      </c>
      <c r="M229" s="58">
        <v>0</v>
      </c>
      <c r="N229" s="55"/>
    </row>
    <row r="230" spans="1:14" s="7" customFormat="1" ht="19.5" customHeight="1">
      <c r="A230" s="50"/>
      <c r="B230" s="35" t="s">
        <v>34</v>
      </c>
      <c r="C230" s="58">
        <v>0</v>
      </c>
      <c r="D230" s="58">
        <v>0</v>
      </c>
      <c r="E230" s="58">
        <v>0</v>
      </c>
      <c r="F230" s="58">
        <v>0</v>
      </c>
      <c r="G230" s="58">
        <v>0</v>
      </c>
      <c r="H230" s="58">
        <v>0</v>
      </c>
      <c r="I230" s="58">
        <v>0</v>
      </c>
      <c r="J230" s="58">
        <v>0</v>
      </c>
      <c r="K230" s="58">
        <v>0</v>
      </c>
      <c r="L230" s="58">
        <v>0</v>
      </c>
      <c r="M230" s="58">
        <v>0</v>
      </c>
      <c r="N230" s="55"/>
    </row>
    <row r="231" spans="1:14" s="7" customFormat="1" ht="19.5" customHeight="1">
      <c r="A231" s="50"/>
      <c r="B231" s="32"/>
      <c r="C231" s="52"/>
      <c r="D231" s="52"/>
      <c r="E231" s="52"/>
      <c r="F231" s="52"/>
      <c r="G231" s="202"/>
      <c r="H231" s="52"/>
      <c r="I231" s="52"/>
      <c r="J231" s="52"/>
      <c r="K231" s="52"/>
      <c r="L231" s="52"/>
      <c r="M231" s="52"/>
      <c r="N231" s="22"/>
    </row>
    <row r="232" spans="1:14" s="7" customFormat="1" ht="26.25" customHeight="1">
      <c r="A232" s="8" t="s">
        <v>35</v>
      </c>
      <c r="B232" s="34" t="s">
        <v>43</v>
      </c>
      <c r="C232" s="274">
        <f>C235+C239</f>
        <v>748719</v>
      </c>
      <c r="D232" s="274">
        <f t="shared" ref="D232:M232" si="24">D235+D239</f>
        <v>748719</v>
      </c>
      <c r="E232" s="274">
        <f t="shared" si="24"/>
        <v>0</v>
      </c>
      <c r="F232" s="274">
        <f t="shared" si="24"/>
        <v>748719</v>
      </c>
      <c r="G232" s="274">
        <f t="shared" si="24"/>
        <v>73459</v>
      </c>
      <c r="H232" s="274">
        <f t="shared" si="24"/>
        <v>69806</v>
      </c>
      <c r="I232" s="274">
        <f t="shared" si="24"/>
        <v>0</v>
      </c>
      <c r="J232" s="274">
        <f t="shared" si="24"/>
        <v>0</v>
      </c>
      <c r="K232" s="274">
        <f t="shared" si="24"/>
        <v>0</v>
      </c>
      <c r="L232" s="274">
        <f t="shared" si="24"/>
        <v>3653</v>
      </c>
      <c r="M232" s="274">
        <f t="shared" si="24"/>
        <v>0</v>
      </c>
      <c r="N232" s="22"/>
    </row>
    <row r="233" spans="1:14" s="7" customFormat="1" ht="26.25" customHeight="1">
      <c r="A233" s="50"/>
      <c r="B233" s="35" t="s">
        <v>36</v>
      </c>
      <c r="C233" s="274">
        <f>C236+C240</f>
        <v>296727</v>
      </c>
      <c r="D233" s="274">
        <f t="shared" ref="D233:M233" si="25">D236+D240</f>
        <v>296727</v>
      </c>
      <c r="E233" s="274">
        <f t="shared" si="25"/>
        <v>0</v>
      </c>
      <c r="F233" s="274">
        <f t="shared" si="25"/>
        <v>296727</v>
      </c>
      <c r="G233" s="274">
        <f t="shared" si="25"/>
        <v>29154</v>
      </c>
      <c r="H233" s="274">
        <f t="shared" si="25"/>
        <v>27594</v>
      </c>
      <c r="I233" s="274">
        <f t="shared" si="25"/>
        <v>0</v>
      </c>
      <c r="J233" s="274">
        <f t="shared" si="25"/>
        <v>0</v>
      </c>
      <c r="K233" s="274">
        <f t="shared" si="25"/>
        <v>0</v>
      </c>
      <c r="L233" s="274">
        <f t="shared" si="25"/>
        <v>1560</v>
      </c>
      <c r="M233" s="274">
        <f t="shared" si="25"/>
        <v>0</v>
      </c>
      <c r="N233" s="55"/>
    </row>
    <row r="234" spans="1:14" s="7" customFormat="1" ht="19.5" customHeight="1">
      <c r="A234" s="50"/>
      <c r="B234" s="32"/>
      <c r="C234" s="52"/>
      <c r="D234" s="52"/>
      <c r="E234" s="52"/>
      <c r="F234" s="52"/>
      <c r="G234" s="202"/>
      <c r="H234" s="52"/>
      <c r="I234" s="52"/>
      <c r="J234" s="52"/>
      <c r="K234" s="52"/>
      <c r="L234" s="52"/>
      <c r="M234" s="52"/>
      <c r="N234" s="55"/>
    </row>
    <row r="235" spans="1:14" s="7" customFormat="1" ht="39.75" customHeight="1">
      <c r="A235" s="50">
        <v>1</v>
      </c>
      <c r="B235" s="192" t="s">
        <v>124</v>
      </c>
      <c r="C235" s="356">
        <v>144724</v>
      </c>
      <c r="D235" s="356">
        <f>C235</f>
        <v>144724</v>
      </c>
      <c r="E235" s="356">
        <v>0</v>
      </c>
      <c r="F235" s="2">
        <f>D235-E235</f>
        <v>144724</v>
      </c>
      <c r="G235" s="58">
        <f>SUM(H235:M235)</f>
        <v>15272</v>
      </c>
      <c r="H235" s="51">
        <v>11619</v>
      </c>
      <c r="I235" s="51"/>
      <c r="J235" s="51">
        <v>0</v>
      </c>
      <c r="K235" s="51"/>
      <c r="L235" s="51">
        <v>3653</v>
      </c>
      <c r="M235" s="51">
        <v>0</v>
      </c>
      <c r="N235" s="22" t="s">
        <v>45</v>
      </c>
    </row>
    <row r="236" spans="1:14" s="7" customFormat="1" ht="19.5" customHeight="1">
      <c r="A236" s="50"/>
      <c r="B236" s="161" t="s">
        <v>125</v>
      </c>
      <c r="C236" s="51">
        <v>61826</v>
      </c>
      <c r="D236" s="51">
        <f>C236</f>
        <v>61826</v>
      </c>
      <c r="E236" s="51">
        <v>0</v>
      </c>
      <c r="F236" s="2">
        <f>D236-E236</f>
        <v>61826</v>
      </c>
      <c r="G236" s="58">
        <f>SUM(H236:M236)</f>
        <v>6524</v>
      </c>
      <c r="H236" s="51">
        <v>4964</v>
      </c>
      <c r="I236" s="51"/>
      <c r="J236" s="51">
        <v>0</v>
      </c>
      <c r="K236" s="51"/>
      <c r="L236" s="51">
        <v>1560</v>
      </c>
      <c r="M236" s="51">
        <v>0</v>
      </c>
      <c r="N236" s="22"/>
    </row>
    <row r="237" spans="1:14" s="7" customFormat="1" ht="19.5" customHeight="1">
      <c r="A237" s="50"/>
      <c r="B237" s="161"/>
      <c r="C237" s="52"/>
      <c r="D237" s="52"/>
      <c r="E237" s="52"/>
      <c r="F237" s="1"/>
      <c r="G237" s="202"/>
      <c r="H237" s="52"/>
      <c r="I237" s="52"/>
      <c r="J237" s="52"/>
      <c r="K237" s="52"/>
      <c r="L237" s="52"/>
      <c r="M237" s="52"/>
      <c r="N237" s="22"/>
    </row>
    <row r="238" spans="1:14" s="7" customFormat="1" ht="19.5" customHeight="1">
      <c r="A238" s="50"/>
      <c r="B238" s="161"/>
      <c r="C238" s="52"/>
      <c r="D238" s="52"/>
      <c r="E238" s="52"/>
      <c r="F238" s="1"/>
      <c r="G238" s="202"/>
      <c r="H238" s="52"/>
      <c r="I238" s="52"/>
      <c r="J238" s="52"/>
      <c r="K238" s="52"/>
      <c r="L238" s="52"/>
      <c r="M238" s="52"/>
      <c r="N238" s="22"/>
    </row>
    <row r="239" spans="1:14" s="7" customFormat="1" ht="40.5" customHeight="1">
      <c r="A239" s="50">
        <v>2</v>
      </c>
      <c r="B239" s="192" t="s">
        <v>126</v>
      </c>
      <c r="C239" s="356">
        <v>603995</v>
      </c>
      <c r="D239" s="356">
        <f>C239</f>
        <v>603995</v>
      </c>
      <c r="E239" s="356">
        <v>0</v>
      </c>
      <c r="F239" s="2">
        <f>D239-E239</f>
        <v>603995</v>
      </c>
      <c r="G239" s="58">
        <f>SUM(H239:M239)</f>
        <v>58187</v>
      </c>
      <c r="H239" s="51">
        <v>58187</v>
      </c>
      <c r="I239" s="51"/>
      <c r="J239" s="51"/>
      <c r="K239" s="51"/>
      <c r="L239" s="51"/>
      <c r="M239" s="51"/>
      <c r="N239" s="22" t="s">
        <v>45</v>
      </c>
    </row>
    <row r="240" spans="1:14" s="7" customFormat="1" ht="19.5" customHeight="1">
      <c r="A240" s="50"/>
      <c r="B240" s="161" t="s">
        <v>127</v>
      </c>
      <c r="C240" s="51">
        <v>234901</v>
      </c>
      <c r="D240" s="51">
        <f>C240</f>
        <v>234901</v>
      </c>
      <c r="E240" s="51">
        <v>0</v>
      </c>
      <c r="F240" s="2">
        <f>D240-E240</f>
        <v>234901</v>
      </c>
      <c r="G240" s="58">
        <f>SUM(H240:M240)</f>
        <v>22630</v>
      </c>
      <c r="H240" s="51">
        <v>22630</v>
      </c>
      <c r="I240" s="51"/>
      <c r="J240" s="51"/>
      <c r="K240" s="51"/>
      <c r="L240" s="51"/>
      <c r="M240" s="51"/>
      <c r="N240" s="22"/>
    </row>
    <row r="241" spans="1:14" s="7" customFormat="1" ht="19.5" customHeight="1">
      <c r="A241" s="50"/>
      <c r="B241" s="161"/>
      <c r="C241" s="52"/>
      <c r="D241" s="52"/>
      <c r="E241" s="52"/>
      <c r="F241" s="1"/>
      <c r="G241" s="202"/>
      <c r="H241" s="52"/>
      <c r="I241" s="52"/>
      <c r="J241" s="52"/>
      <c r="K241" s="52"/>
      <c r="L241" s="52"/>
      <c r="M241" s="52"/>
      <c r="N241" s="22"/>
    </row>
    <row r="242" spans="1:14" s="7" customFormat="1" ht="19.5" customHeight="1">
      <c r="A242" s="50"/>
      <c r="B242" s="161"/>
      <c r="C242" s="52"/>
      <c r="D242" s="52"/>
      <c r="E242" s="52"/>
      <c r="F242" s="1"/>
      <c r="G242" s="202"/>
      <c r="H242" s="52"/>
      <c r="I242" s="52"/>
      <c r="J242" s="52"/>
      <c r="K242" s="52"/>
      <c r="L242" s="52"/>
      <c r="M242" s="52"/>
      <c r="N242" s="22"/>
    </row>
    <row r="243" spans="1:14" s="7" customFormat="1" ht="27" customHeight="1">
      <c r="A243" s="50" t="s">
        <v>37</v>
      </c>
      <c r="B243" s="34" t="s">
        <v>128</v>
      </c>
      <c r="C243" s="58">
        <f>C246+C247+C248</f>
        <v>20319</v>
      </c>
      <c r="D243" s="58">
        <f t="shared" ref="D243:M243" si="26">D246+D247+D248</f>
        <v>20319</v>
      </c>
      <c r="E243" s="58">
        <f t="shared" si="26"/>
        <v>495</v>
      </c>
      <c r="F243" s="58">
        <f t="shared" si="26"/>
        <v>19824</v>
      </c>
      <c r="G243" s="58">
        <f>G246+G247+G248</f>
        <v>19824</v>
      </c>
      <c r="H243" s="58">
        <f t="shared" si="26"/>
        <v>17304</v>
      </c>
      <c r="I243" s="58">
        <f t="shared" si="26"/>
        <v>0</v>
      </c>
      <c r="J243" s="58">
        <f t="shared" si="26"/>
        <v>0</v>
      </c>
      <c r="K243" s="58">
        <f>K246+K247+K248</f>
        <v>1504</v>
      </c>
      <c r="L243" s="58">
        <f t="shared" si="26"/>
        <v>1016</v>
      </c>
      <c r="M243" s="58">
        <f t="shared" si="26"/>
        <v>0</v>
      </c>
      <c r="N243" s="55"/>
    </row>
    <row r="244" spans="1:14" s="7" customFormat="1" ht="27" customHeight="1">
      <c r="A244" s="50"/>
      <c r="B244" s="35" t="s">
        <v>61</v>
      </c>
      <c r="C244" s="51"/>
      <c r="D244" s="51"/>
      <c r="E244" s="51"/>
      <c r="F244" s="51"/>
      <c r="G244" s="58"/>
      <c r="H244" s="51"/>
      <c r="I244" s="51"/>
      <c r="J244" s="51"/>
      <c r="K244" s="51"/>
      <c r="L244" s="51"/>
      <c r="M244" s="51"/>
      <c r="N244" s="55"/>
    </row>
    <row r="245" spans="1:14" s="7" customFormat="1" ht="27" customHeight="1">
      <c r="A245" s="50"/>
      <c r="B245" s="16" t="s">
        <v>42</v>
      </c>
      <c r="C245" s="52"/>
      <c r="D245" s="52"/>
      <c r="E245" s="52"/>
      <c r="F245" s="52"/>
      <c r="G245" s="202"/>
      <c r="H245" s="52"/>
      <c r="I245" s="52"/>
      <c r="J245" s="52"/>
      <c r="K245" s="52"/>
      <c r="L245" s="52"/>
      <c r="M245" s="52"/>
      <c r="N245" s="55"/>
    </row>
    <row r="246" spans="1:14" s="7" customFormat="1" ht="27" customHeight="1">
      <c r="A246" s="44"/>
      <c r="B246" s="137" t="s">
        <v>129</v>
      </c>
      <c r="C246" s="52">
        <f>'A3 - STUDII SI PROIECTE 2024'!D112</f>
        <v>9574</v>
      </c>
      <c r="D246" s="52">
        <f>'A3 - STUDII SI PROIECTE 2024'!E112</f>
        <v>9574</v>
      </c>
      <c r="E246" s="52">
        <f>'A3 - STUDII SI PROIECTE 2024'!F112</f>
        <v>495</v>
      </c>
      <c r="F246" s="52">
        <f>'A3 - STUDII SI PROIECTE 2024'!G112</f>
        <v>9079</v>
      </c>
      <c r="G246" s="202">
        <f>'A3 - STUDII SI PROIECTE 2024'!H112</f>
        <v>9079</v>
      </c>
      <c r="H246" s="52">
        <f>'A3 - STUDII SI PROIECTE 2024'!I112</f>
        <v>9063</v>
      </c>
      <c r="I246" s="52">
        <f>'A3 - STUDII SI PROIECTE 2024'!J112</f>
        <v>0</v>
      </c>
      <c r="J246" s="52">
        <f>'A3 - STUDII SI PROIECTE 2024'!K112</f>
        <v>0</v>
      </c>
      <c r="K246" s="52">
        <f>'A3 - STUDII SI PROIECTE 2024'!L112</f>
        <v>0</v>
      </c>
      <c r="L246" s="52">
        <f>'A3 - STUDII SI PROIECTE 2024'!M112</f>
        <v>16</v>
      </c>
      <c r="M246" s="52">
        <f>'A3 - STUDII SI PROIECTE 2024'!N112</f>
        <v>0</v>
      </c>
      <c r="N246" s="55"/>
    </row>
    <row r="247" spans="1:14" s="7" customFormat="1" ht="27" customHeight="1">
      <c r="A247" s="44"/>
      <c r="B247" s="137" t="s">
        <v>63</v>
      </c>
      <c r="C247" s="45">
        <f>'A3 - DOTARI 2024'!D88</f>
        <v>8428</v>
      </c>
      <c r="D247" s="45">
        <f>'A3 - DOTARI 2024'!E88</f>
        <v>8428</v>
      </c>
      <c r="E247" s="45">
        <f>'A3 - DOTARI 2024'!F88</f>
        <v>0</v>
      </c>
      <c r="F247" s="45">
        <f>'A3 - DOTARI 2024'!G88</f>
        <v>8428</v>
      </c>
      <c r="G247" s="237">
        <f>'A3 - DOTARI 2024'!H88</f>
        <v>8428</v>
      </c>
      <c r="H247" s="45">
        <f>'A3 - DOTARI 2024'!I88</f>
        <v>8241</v>
      </c>
      <c r="I247" s="45">
        <f>'A3 - DOTARI 2024'!J88</f>
        <v>0</v>
      </c>
      <c r="J247" s="45">
        <f>'A3 - DOTARI 2024'!K88</f>
        <v>0</v>
      </c>
      <c r="K247" s="45">
        <f>'A3 - DOTARI 2024'!L88</f>
        <v>187</v>
      </c>
      <c r="L247" s="45">
        <f>'A3 - DOTARI 2024'!M88</f>
        <v>0</v>
      </c>
      <c r="M247" s="45">
        <f>'A3 - DOTARI 2024'!N88</f>
        <v>0</v>
      </c>
      <c r="N247" s="55"/>
    </row>
    <row r="248" spans="1:14" s="7" customFormat="1" ht="27" customHeight="1">
      <c r="A248" s="44"/>
      <c r="B248" s="137" t="s">
        <v>130</v>
      </c>
      <c r="C248" s="45">
        <f>'A3 - ALTE CHELTUIELI 2024'!D36</f>
        <v>2317</v>
      </c>
      <c r="D248" s="45">
        <f>'A3 - ALTE CHELTUIELI 2024'!E36</f>
        <v>2317</v>
      </c>
      <c r="E248" s="45">
        <f>'A3 - ALTE CHELTUIELI 2024'!F36</f>
        <v>0</v>
      </c>
      <c r="F248" s="45">
        <f>'A3 - ALTE CHELTUIELI 2024'!G36</f>
        <v>2317</v>
      </c>
      <c r="G248" s="237">
        <f>'A3 - ALTE CHELTUIELI 2024'!H36</f>
        <v>2317</v>
      </c>
      <c r="H248" s="45">
        <f>'A3 - ALTE CHELTUIELI 2024'!I36</f>
        <v>0</v>
      </c>
      <c r="I248" s="45">
        <f>'A3 - ALTE CHELTUIELI 2024'!J36</f>
        <v>0</v>
      </c>
      <c r="J248" s="45">
        <f>'A3 - ALTE CHELTUIELI 2024'!K36</f>
        <v>0</v>
      </c>
      <c r="K248" s="45">
        <f>'A3 - ALTE CHELTUIELI 2024'!L36</f>
        <v>1317</v>
      </c>
      <c r="L248" s="45">
        <f>'A3 - ALTE CHELTUIELI 2024'!M36</f>
        <v>1000</v>
      </c>
      <c r="M248" s="45">
        <f>'A3 - ALTE CHELTUIELI 2024'!N36</f>
        <v>0</v>
      </c>
      <c r="N248" s="55"/>
    </row>
    <row r="249" spans="1:14" s="7" customFormat="1" ht="27" customHeight="1">
      <c r="A249" s="44"/>
      <c r="B249" s="137"/>
      <c r="C249" s="45"/>
      <c r="D249" s="45"/>
      <c r="E249" s="45"/>
      <c r="F249" s="45"/>
      <c r="G249" s="237"/>
      <c r="H249" s="45"/>
      <c r="I249" s="45"/>
      <c r="J249" s="45"/>
      <c r="K249" s="45"/>
      <c r="L249" s="45"/>
      <c r="M249" s="45"/>
      <c r="N249" s="55"/>
    </row>
    <row r="250" spans="1:14" s="7" customFormat="1" ht="27" customHeight="1">
      <c r="A250" s="44"/>
      <c r="B250" s="137"/>
      <c r="C250" s="45"/>
      <c r="D250" s="45"/>
      <c r="E250" s="45"/>
      <c r="F250" s="45"/>
      <c r="G250" s="237"/>
      <c r="H250" s="45"/>
      <c r="I250" s="45"/>
      <c r="J250" s="45"/>
      <c r="K250" s="45"/>
      <c r="L250" s="45"/>
      <c r="M250" s="45"/>
      <c r="N250" s="55"/>
    </row>
    <row r="251" spans="1:14" s="7" customFormat="1" ht="27" customHeight="1">
      <c r="A251" s="44"/>
      <c r="B251" s="137"/>
      <c r="C251" s="45"/>
      <c r="D251" s="45"/>
      <c r="E251" s="45"/>
      <c r="F251" s="45"/>
      <c r="G251" s="237"/>
      <c r="H251" s="45"/>
      <c r="I251" s="45"/>
      <c r="J251" s="45"/>
      <c r="K251" s="45"/>
      <c r="L251" s="45"/>
      <c r="M251" s="45"/>
      <c r="N251" s="55"/>
    </row>
    <row r="252" spans="1:14" s="7" customFormat="1" ht="27" customHeight="1">
      <c r="A252" s="44"/>
      <c r="B252" s="137"/>
      <c r="C252" s="45"/>
      <c r="D252" s="45"/>
      <c r="E252" s="45"/>
      <c r="F252" s="45"/>
      <c r="G252" s="237"/>
      <c r="H252" s="45"/>
      <c r="I252" s="45"/>
      <c r="J252" s="45"/>
      <c r="K252" s="45"/>
      <c r="L252" s="45"/>
      <c r="M252" s="45"/>
      <c r="N252" s="55"/>
    </row>
    <row r="253" spans="1:14" s="7" customFormat="1" ht="27" customHeight="1">
      <c r="A253" s="44"/>
      <c r="B253" s="137"/>
      <c r="C253" s="45"/>
      <c r="D253" s="45"/>
      <c r="E253" s="45"/>
      <c r="F253" s="45"/>
      <c r="G253" s="237"/>
      <c r="H253" s="45"/>
      <c r="I253" s="45"/>
      <c r="J253" s="45"/>
      <c r="K253" s="45"/>
      <c r="L253" s="45"/>
      <c r="M253" s="45"/>
      <c r="N253" s="55"/>
    </row>
    <row r="254" spans="1:14" s="7" customFormat="1" ht="27" customHeight="1">
      <c r="A254" s="44"/>
      <c r="B254" s="137"/>
      <c r="C254" s="45"/>
      <c r="D254" s="45"/>
      <c r="E254" s="45"/>
      <c r="F254" s="45"/>
      <c r="G254" s="237"/>
      <c r="H254" s="45"/>
      <c r="I254" s="45"/>
      <c r="J254" s="45"/>
      <c r="K254" s="45"/>
      <c r="L254" s="45"/>
      <c r="M254" s="45"/>
      <c r="N254" s="55"/>
    </row>
    <row r="255" spans="1:14" s="7" customFormat="1" ht="19.5" customHeight="1">
      <c r="A255" s="44"/>
      <c r="B255" s="137"/>
      <c r="C255" s="45"/>
      <c r="D255" s="45"/>
      <c r="E255" s="45"/>
      <c r="F255" s="45"/>
      <c r="G255" s="45"/>
      <c r="H255" s="45"/>
      <c r="I255" s="45"/>
      <c r="J255" s="45"/>
      <c r="K255" s="45"/>
      <c r="L255" s="45"/>
      <c r="M255" s="45"/>
      <c r="N255" s="55"/>
    </row>
    <row r="256" spans="1:14" s="7" customFormat="1" ht="19.5" customHeight="1">
      <c r="A256" s="44"/>
      <c r="B256" s="137"/>
      <c r="C256" s="45"/>
      <c r="D256" s="45"/>
      <c r="E256" s="45"/>
      <c r="F256" s="45"/>
      <c r="G256" s="45"/>
      <c r="H256" s="45"/>
      <c r="I256" s="45"/>
      <c r="J256" s="45"/>
      <c r="K256" s="45"/>
      <c r="L256" s="45"/>
      <c r="M256" s="45"/>
      <c r="N256" s="55"/>
    </row>
    <row r="257" spans="1:14" s="7" customFormat="1" ht="19.5" customHeight="1">
      <c r="A257" s="44"/>
      <c r="B257" s="137"/>
      <c r="C257" s="45"/>
      <c r="D257" s="45"/>
      <c r="E257" s="45"/>
      <c r="F257" s="45"/>
      <c r="G257" s="45"/>
      <c r="H257" s="45"/>
      <c r="I257" s="45"/>
      <c r="J257" s="45"/>
      <c r="K257" s="45"/>
      <c r="L257" s="45"/>
      <c r="M257" s="45"/>
      <c r="N257" s="55"/>
    </row>
    <row r="258" spans="1:14" s="7" customFormat="1" ht="23.25" customHeight="1">
      <c r="A258" s="44"/>
      <c r="B258" s="137"/>
      <c r="C258" s="45"/>
      <c r="D258" s="45"/>
      <c r="E258" s="45"/>
      <c r="F258" s="45"/>
      <c r="G258" s="45"/>
      <c r="H258" s="45"/>
      <c r="I258" s="45"/>
      <c r="J258" s="45"/>
      <c r="K258" s="45"/>
      <c r="L258" s="45"/>
      <c r="M258" s="45"/>
      <c r="N258" s="55"/>
    </row>
    <row r="259" spans="1:14" s="7" customFormat="1" ht="39" customHeight="1">
      <c r="A259" s="12"/>
      <c r="B259" s="144" t="s">
        <v>131</v>
      </c>
      <c r="C259" s="13" t="s">
        <v>132</v>
      </c>
      <c r="D259" s="14"/>
      <c r="E259" s="14"/>
      <c r="F259" s="14"/>
      <c r="G259" s="46"/>
      <c r="H259" s="46"/>
      <c r="I259" s="46"/>
      <c r="J259" s="46"/>
      <c r="K259" s="46"/>
      <c r="L259" s="46"/>
      <c r="M259" s="1" t="s">
        <v>41</v>
      </c>
      <c r="N259" s="55"/>
    </row>
    <row r="260" spans="1:14" s="7" customFormat="1" ht="22.5" customHeight="1">
      <c r="A260" s="15"/>
      <c r="B260" s="16" t="s">
        <v>42</v>
      </c>
      <c r="C260" s="17">
        <f>C263+C270+C313</f>
        <v>228885</v>
      </c>
      <c r="D260" s="17">
        <f t="shared" ref="D260:M260" si="27">D263+D270+D313</f>
        <v>247627</v>
      </c>
      <c r="E260" s="17">
        <f t="shared" si="27"/>
        <v>13870</v>
      </c>
      <c r="F260" s="17">
        <f t="shared" si="27"/>
        <v>233757</v>
      </c>
      <c r="G260" s="17">
        <f t="shared" si="27"/>
        <v>105821</v>
      </c>
      <c r="H260" s="17">
        <f t="shared" si="27"/>
        <v>0</v>
      </c>
      <c r="I260" s="17">
        <f t="shared" si="27"/>
        <v>0</v>
      </c>
      <c r="J260" s="17">
        <f t="shared" si="27"/>
        <v>9492</v>
      </c>
      <c r="K260" s="17">
        <f t="shared" si="27"/>
        <v>5670</v>
      </c>
      <c r="L260" s="17">
        <f t="shared" si="27"/>
        <v>90659</v>
      </c>
      <c r="M260" s="17">
        <f t="shared" si="27"/>
        <v>0</v>
      </c>
      <c r="N260" s="55"/>
    </row>
    <row r="261" spans="1:14" s="7" customFormat="1" ht="22.5" customHeight="1">
      <c r="A261" s="18"/>
      <c r="B261" s="16"/>
      <c r="C261" s="17">
        <f>C264+C271+C314</f>
        <v>172099</v>
      </c>
      <c r="D261" s="17">
        <f t="shared" ref="D261:M261" si="28">D264+D271+D314</f>
        <v>181544</v>
      </c>
      <c r="E261" s="17">
        <f t="shared" si="28"/>
        <v>11072</v>
      </c>
      <c r="F261" s="17">
        <f t="shared" si="28"/>
        <v>170472</v>
      </c>
      <c r="G261" s="17">
        <f t="shared" si="28"/>
        <v>66943.430369484398</v>
      </c>
      <c r="H261" s="17">
        <f t="shared" si="28"/>
        <v>0</v>
      </c>
      <c r="I261" s="17">
        <f t="shared" si="28"/>
        <v>0</v>
      </c>
      <c r="J261" s="17">
        <f t="shared" si="28"/>
        <v>862</v>
      </c>
      <c r="K261" s="17">
        <f t="shared" si="28"/>
        <v>0</v>
      </c>
      <c r="L261" s="17">
        <f t="shared" si="28"/>
        <v>66081.430369484398</v>
      </c>
      <c r="M261" s="17">
        <f t="shared" si="28"/>
        <v>0</v>
      </c>
      <c r="N261" s="55"/>
    </row>
    <row r="262" spans="1:14" s="7" customFormat="1" ht="14.25" customHeight="1">
      <c r="A262" s="12"/>
      <c r="B262" s="129"/>
      <c r="C262" s="1"/>
      <c r="D262" s="1"/>
      <c r="E262" s="1"/>
      <c r="F262" s="1"/>
      <c r="G262" s="46"/>
      <c r="H262" s="46"/>
      <c r="I262" s="46"/>
      <c r="J262" s="46"/>
      <c r="K262" s="46"/>
      <c r="L262" s="46"/>
      <c r="M262" s="1"/>
      <c r="N262" s="55"/>
    </row>
    <row r="263" spans="1:14" s="7" customFormat="1" ht="24.75" customHeight="1">
      <c r="A263" s="18" t="s">
        <v>32</v>
      </c>
      <c r="B263" s="34" t="s">
        <v>33</v>
      </c>
      <c r="C263" s="17">
        <f>C266</f>
        <v>4864</v>
      </c>
      <c r="D263" s="17">
        <f t="shared" ref="D263:M263" si="29">D266</f>
        <v>21974</v>
      </c>
      <c r="E263" s="17">
        <f t="shared" si="29"/>
        <v>6544</v>
      </c>
      <c r="F263" s="17">
        <f t="shared" si="29"/>
        <v>15430</v>
      </c>
      <c r="G263" s="17">
        <f t="shared" si="29"/>
        <v>9476</v>
      </c>
      <c r="H263" s="17">
        <f t="shared" si="29"/>
        <v>0</v>
      </c>
      <c r="I263" s="17">
        <f t="shared" si="29"/>
        <v>0</v>
      </c>
      <c r="J263" s="17">
        <f t="shared" si="29"/>
        <v>9476</v>
      </c>
      <c r="K263" s="17">
        <f t="shared" si="29"/>
        <v>0</v>
      </c>
      <c r="L263" s="17">
        <f t="shared" si="29"/>
        <v>0</v>
      </c>
      <c r="M263" s="17">
        <f t="shared" si="29"/>
        <v>0</v>
      </c>
      <c r="N263" s="55"/>
    </row>
    <row r="264" spans="1:14" s="7" customFormat="1" ht="24.75" customHeight="1">
      <c r="A264" s="18"/>
      <c r="B264" s="35" t="s">
        <v>34</v>
      </c>
      <c r="C264" s="17">
        <f>C267</f>
        <v>3166</v>
      </c>
      <c r="D264" s="17">
        <f t="shared" ref="D264:M264" si="30">D267</f>
        <v>10472</v>
      </c>
      <c r="E264" s="17">
        <f t="shared" si="30"/>
        <v>5672</v>
      </c>
      <c r="F264" s="17">
        <f t="shared" si="30"/>
        <v>4800</v>
      </c>
      <c r="G264" s="17">
        <f t="shared" si="30"/>
        <v>862</v>
      </c>
      <c r="H264" s="17">
        <f t="shared" si="30"/>
        <v>0</v>
      </c>
      <c r="I264" s="17">
        <f t="shared" si="30"/>
        <v>0</v>
      </c>
      <c r="J264" s="17">
        <f t="shared" si="30"/>
        <v>862</v>
      </c>
      <c r="K264" s="17">
        <f t="shared" si="30"/>
        <v>0</v>
      </c>
      <c r="L264" s="17">
        <f t="shared" si="30"/>
        <v>0</v>
      </c>
      <c r="M264" s="17">
        <f t="shared" si="30"/>
        <v>0</v>
      </c>
      <c r="N264" s="55"/>
    </row>
    <row r="265" spans="1:14" s="7" customFormat="1" ht="19.5" customHeight="1">
      <c r="A265" s="18"/>
      <c r="B265" s="32"/>
      <c r="C265" s="1"/>
      <c r="D265" s="1"/>
      <c r="E265" s="1"/>
      <c r="F265" s="1"/>
      <c r="G265" s="46"/>
      <c r="H265" s="1"/>
      <c r="I265" s="1"/>
      <c r="J265" s="1"/>
      <c r="K265" s="1"/>
      <c r="L265" s="1"/>
      <c r="M265" s="1"/>
      <c r="N265" s="55"/>
    </row>
    <row r="266" spans="1:14" s="7" customFormat="1" ht="42.75">
      <c r="A266" s="50">
        <v>1</v>
      </c>
      <c r="B266" s="192" t="s">
        <v>133</v>
      </c>
      <c r="C266" s="356">
        <v>4864</v>
      </c>
      <c r="D266" s="356">
        <f>15500+6474</f>
        <v>21974</v>
      </c>
      <c r="E266" s="356">
        <f>174+3500+6474-3604</f>
        <v>6544</v>
      </c>
      <c r="F266" s="2">
        <f>D266-E266</f>
        <v>15430</v>
      </c>
      <c r="G266" s="58">
        <f>SUM(H266:M266)</f>
        <v>9476</v>
      </c>
      <c r="H266" s="51"/>
      <c r="I266" s="51"/>
      <c r="J266" s="51">
        <f>1257+8220-1</f>
        <v>9476</v>
      </c>
      <c r="K266" s="51"/>
      <c r="L266" s="51">
        <v>0</v>
      </c>
      <c r="M266" s="51">
        <v>0</v>
      </c>
      <c r="N266" s="22" t="s">
        <v>45</v>
      </c>
    </row>
    <row r="267" spans="1:14" s="7" customFormat="1" ht="30.75" customHeight="1">
      <c r="A267" s="50"/>
      <c r="B267" s="161" t="s">
        <v>134</v>
      </c>
      <c r="C267" s="51">
        <v>3166</v>
      </c>
      <c r="D267" s="51">
        <f>4800+5672</f>
        <v>10472</v>
      </c>
      <c r="E267" s="51">
        <f>162+3400+5672-3562</f>
        <v>5672</v>
      </c>
      <c r="F267" s="2">
        <f>D267-E267</f>
        <v>4800</v>
      </c>
      <c r="G267" s="58">
        <f>SUM(H267:M267)</f>
        <v>862</v>
      </c>
      <c r="H267" s="51"/>
      <c r="I267" s="51"/>
      <c r="J267" s="51">
        <f>4800-3920-18</f>
        <v>862</v>
      </c>
      <c r="K267" s="51"/>
      <c r="L267" s="51">
        <v>0</v>
      </c>
      <c r="M267" s="51">
        <v>0</v>
      </c>
      <c r="N267" s="22"/>
    </row>
    <row r="268" spans="1:14" s="7" customFormat="1" ht="15.75" customHeight="1">
      <c r="A268" s="50"/>
      <c r="B268" s="161"/>
      <c r="C268" s="52"/>
      <c r="D268" s="52"/>
      <c r="E268" s="52"/>
      <c r="F268" s="1"/>
      <c r="G268" s="202"/>
      <c r="H268" s="52"/>
      <c r="I268" s="52"/>
      <c r="J268" s="52"/>
      <c r="K268" s="52"/>
      <c r="L268" s="52"/>
      <c r="M268" s="52"/>
      <c r="N268" s="22"/>
    </row>
    <row r="269" spans="1:14" s="7" customFormat="1" ht="15.75" customHeight="1">
      <c r="A269" s="18"/>
      <c r="B269" s="129"/>
      <c r="C269" s="1"/>
      <c r="D269" s="1"/>
      <c r="E269" s="1"/>
      <c r="F269" s="1"/>
      <c r="G269" s="46"/>
      <c r="H269" s="1"/>
      <c r="I269" s="1"/>
      <c r="J269" s="1"/>
      <c r="K269" s="1"/>
      <c r="L269" s="1"/>
      <c r="M269" s="1"/>
      <c r="N269" s="55"/>
    </row>
    <row r="270" spans="1:14" s="7" customFormat="1" ht="32.25" customHeight="1">
      <c r="A270" s="18" t="s">
        <v>35</v>
      </c>
      <c r="B270" s="34" t="s">
        <v>43</v>
      </c>
      <c r="C270" s="17">
        <f>C273+C277+C281+C285+C289+C293+C297+C301+C305+C309</f>
        <v>210751</v>
      </c>
      <c r="D270" s="17">
        <f t="shared" ref="D270:M270" si="31">D273+D277+D281+D285+D289+D293+D297+D301+D305+D309</f>
        <v>212383</v>
      </c>
      <c r="E270" s="17">
        <f t="shared" si="31"/>
        <v>5800</v>
      </c>
      <c r="F270" s="17">
        <f t="shared" si="31"/>
        <v>206583</v>
      </c>
      <c r="G270" s="17">
        <f t="shared" si="31"/>
        <v>84601</v>
      </c>
      <c r="H270" s="17">
        <f t="shared" si="31"/>
        <v>0</v>
      </c>
      <c r="I270" s="17">
        <f t="shared" si="31"/>
        <v>0</v>
      </c>
      <c r="J270" s="17">
        <f t="shared" si="31"/>
        <v>0</v>
      </c>
      <c r="K270" s="17">
        <f t="shared" si="31"/>
        <v>0</v>
      </c>
      <c r="L270" s="17">
        <f t="shared" si="31"/>
        <v>84601</v>
      </c>
      <c r="M270" s="17">
        <f t="shared" si="31"/>
        <v>0</v>
      </c>
      <c r="N270" s="55"/>
    </row>
    <row r="271" spans="1:14" s="7" customFormat="1" ht="27" customHeight="1">
      <c r="A271" s="18"/>
      <c r="B271" s="35" t="s">
        <v>36</v>
      </c>
      <c r="C271" s="17">
        <f>C274+C278+C282+C286+C290+C294+C298+C302+C306+C310</f>
        <v>168933</v>
      </c>
      <c r="D271" s="17">
        <f t="shared" ref="D271:M271" si="32">D274+D278+D282+D286+D290+D294+D298+D302+D306+D310</f>
        <v>171072</v>
      </c>
      <c r="E271" s="17">
        <f t="shared" si="32"/>
        <v>5400</v>
      </c>
      <c r="F271" s="17">
        <f t="shared" si="32"/>
        <v>165672</v>
      </c>
      <c r="G271" s="17">
        <f t="shared" si="32"/>
        <v>66081.430369484398</v>
      </c>
      <c r="H271" s="17">
        <f t="shared" si="32"/>
        <v>0</v>
      </c>
      <c r="I271" s="17">
        <f t="shared" si="32"/>
        <v>0</v>
      </c>
      <c r="J271" s="17">
        <f t="shared" si="32"/>
        <v>0</v>
      </c>
      <c r="K271" s="17">
        <f t="shared" si="32"/>
        <v>0</v>
      </c>
      <c r="L271" s="17">
        <f t="shared" si="32"/>
        <v>66081.430369484398</v>
      </c>
      <c r="M271" s="17">
        <f t="shared" si="32"/>
        <v>0</v>
      </c>
      <c r="N271" s="55"/>
    </row>
    <row r="272" spans="1:14" s="7" customFormat="1" ht="13.5" customHeight="1">
      <c r="A272" s="18"/>
      <c r="B272" s="32"/>
      <c r="C272" s="1"/>
      <c r="D272" s="1"/>
      <c r="E272" s="1"/>
      <c r="F272" s="1"/>
      <c r="G272" s="46"/>
      <c r="H272" s="1"/>
      <c r="I272" s="1"/>
      <c r="J272" s="1"/>
      <c r="K272" s="1"/>
      <c r="L272" s="1"/>
      <c r="M272" s="1"/>
      <c r="N272" s="55"/>
    </row>
    <row r="273" spans="1:14" s="7" customFormat="1" ht="57">
      <c r="A273" s="50">
        <v>1</v>
      </c>
      <c r="B273" s="192" t="s">
        <v>135</v>
      </c>
      <c r="C273" s="356">
        <v>43300</v>
      </c>
      <c r="D273" s="356">
        <f>C273</f>
        <v>43300</v>
      </c>
      <c r="E273" s="356">
        <v>0</v>
      </c>
      <c r="F273" s="2">
        <f>D273-E273</f>
        <v>43300</v>
      </c>
      <c r="G273" s="58">
        <f>SUM(H273:M273)</f>
        <v>20000</v>
      </c>
      <c r="H273" s="51"/>
      <c r="I273" s="51"/>
      <c r="J273" s="51">
        <v>0</v>
      </c>
      <c r="K273" s="51"/>
      <c r="L273" s="51">
        <v>20000</v>
      </c>
      <c r="M273" s="51">
        <v>0</v>
      </c>
      <c r="N273" s="22" t="s">
        <v>45</v>
      </c>
    </row>
    <row r="274" spans="1:14" s="7" customFormat="1" ht="18.75" customHeight="1">
      <c r="A274" s="50"/>
      <c r="B274" s="161" t="s">
        <v>136</v>
      </c>
      <c r="C274" s="51">
        <v>34740</v>
      </c>
      <c r="D274" s="51">
        <f>C274</f>
        <v>34740</v>
      </c>
      <c r="E274" s="51">
        <v>0</v>
      </c>
      <c r="F274" s="2">
        <f>D274-E274</f>
        <v>34740</v>
      </c>
      <c r="G274" s="58">
        <f>SUM(H274:M274)</f>
        <v>18000</v>
      </c>
      <c r="H274" s="51"/>
      <c r="I274" s="51"/>
      <c r="J274" s="51">
        <v>0</v>
      </c>
      <c r="K274" s="51"/>
      <c r="L274" s="51">
        <v>18000</v>
      </c>
      <c r="M274" s="51">
        <v>0</v>
      </c>
      <c r="N274" s="22"/>
    </row>
    <row r="275" spans="1:14" s="7" customFormat="1" ht="16.5" customHeight="1">
      <c r="A275" s="50"/>
      <c r="B275" s="161"/>
      <c r="C275" s="52"/>
      <c r="D275" s="52"/>
      <c r="E275" s="52"/>
      <c r="F275" s="1"/>
      <c r="G275" s="202"/>
      <c r="H275" s="52"/>
      <c r="I275" s="52"/>
      <c r="J275" s="52"/>
      <c r="K275" s="52"/>
      <c r="L275" s="52"/>
      <c r="M275" s="52"/>
      <c r="N275" s="22"/>
    </row>
    <row r="276" spans="1:14" s="7" customFormat="1" ht="16.5" customHeight="1">
      <c r="A276" s="50"/>
      <c r="B276" s="161"/>
      <c r="C276" s="52"/>
      <c r="D276" s="52"/>
      <c r="E276" s="52"/>
      <c r="F276" s="1"/>
      <c r="G276" s="202"/>
      <c r="H276" s="52"/>
      <c r="I276" s="52"/>
      <c r="J276" s="52"/>
      <c r="K276" s="52"/>
      <c r="L276" s="52"/>
      <c r="M276" s="52"/>
      <c r="N276" s="22"/>
    </row>
    <row r="277" spans="1:14" s="7" customFormat="1" ht="58.5" customHeight="1">
      <c r="A277" s="50">
        <v>2</v>
      </c>
      <c r="B277" s="192" t="s">
        <v>137</v>
      </c>
      <c r="C277" s="356">
        <v>9800</v>
      </c>
      <c r="D277" s="356">
        <f>C277</f>
        <v>9800</v>
      </c>
      <c r="E277" s="356">
        <f>7758-1958</f>
        <v>5800</v>
      </c>
      <c r="F277" s="2">
        <f>D277-E277</f>
        <v>4000</v>
      </c>
      <c r="G277" s="58">
        <f>SUM(H277:M277)</f>
        <v>4500</v>
      </c>
      <c r="H277" s="51"/>
      <c r="I277" s="51"/>
      <c r="J277" s="51">
        <v>0</v>
      </c>
      <c r="K277" s="51"/>
      <c r="L277" s="51">
        <v>4500</v>
      </c>
      <c r="M277" s="51">
        <v>0</v>
      </c>
      <c r="N277" s="22" t="s">
        <v>45</v>
      </c>
    </row>
    <row r="278" spans="1:14" s="7" customFormat="1" ht="24.75" customHeight="1">
      <c r="A278" s="50"/>
      <c r="B278" s="171" t="s">
        <v>138</v>
      </c>
      <c r="C278" s="51">
        <v>9400</v>
      </c>
      <c r="D278" s="51">
        <f>C278</f>
        <v>9400</v>
      </c>
      <c r="E278" s="51">
        <f>7654-2254</f>
        <v>5400</v>
      </c>
      <c r="F278" s="2">
        <f>D278-E278</f>
        <v>4000</v>
      </c>
      <c r="G278" s="58">
        <f>SUM(H278:M278)</f>
        <v>4500</v>
      </c>
      <c r="H278" s="51"/>
      <c r="I278" s="51"/>
      <c r="J278" s="51">
        <v>0</v>
      </c>
      <c r="K278" s="51"/>
      <c r="L278" s="51">
        <v>4500</v>
      </c>
      <c r="M278" s="51">
        <v>0</v>
      </c>
      <c r="N278" s="22"/>
    </row>
    <row r="279" spans="1:14" s="7" customFormat="1" ht="15.75" customHeight="1">
      <c r="A279" s="50"/>
      <c r="B279" s="171"/>
      <c r="C279" s="52"/>
      <c r="D279" s="52"/>
      <c r="E279" s="52"/>
      <c r="F279" s="1"/>
      <c r="G279" s="202"/>
      <c r="H279" s="52"/>
      <c r="I279" s="52"/>
      <c r="J279" s="52"/>
      <c r="K279" s="52"/>
      <c r="L279" s="52"/>
      <c r="M279" s="52"/>
      <c r="N279" s="22"/>
    </row>
    <row r="280" spans="1:14" s="7" customFormat="1" ht="15.75" customHeight="1">
      <c r="A280" s="50"/>
      <c r="B280" s="171"/>
      <c r="C280" s="52"/>
      <c r="D280" s="52"/>
      <c r="E280" s="52"/>
      <c r="F280" s="1"/>
      <c r="G280" s="202"/>
      <c r="H280" s="52"/>
      <c r="I280" s="52"/>
      <c r="J280" s="52"/>
      <c r="K280" s="52"/>
      <c r="L280" s="52"/>
      <c r="M280" s="52"/>
      <c r="N280" s="22"/>
    </row>
    <row r="281" spans="1:14" s="7" customFormat="1" ht="39" customHeight="1">
      <c r="A281" s="50">
        <v>3</v>
      </c>
      <c r="B281" s="192" t="s">
        <v>139</v>
      </c>
      <c r="C281" s="356">
        <f>57220+5110</f>
        <v>62330</v>
      </c>
      <c r="D281" s="356">
        <f>C281</f>
        <v>62330</v>
      </c>
      <c r="E281" s="356">
        <v>0</v>
      </c>
      <c r="F281" s="2">
        <f>D281-E281</f>
        <v>62330</v>
      </c>
      <c r="G281" s="58">
        <f>SUM(H281:M281)</f>
        <v>1</v>
      </c>
      <c r="H281" s="51"/>
      <c r="I281" s="51"/>
      <c r="J281" s="51">
        <v>0</v>
      </c>
      <c r="K281" s="51"/>
      <c r="L281" s="51">
        <v>1</v>
      </c>
      <c r="M281" s="51">
        <v>0</v>
      </c>
      <c r="N281" s="22" t="s">
        <v>45</v>
      </c>
    </row>
    <row r="282" spans="1:14" s="7" customFormat="1" ht="22.5" customHeight="1">
      <c r="A282" s="50"/>
      <c r="B282" s="171"/>
      <c r="C282" s="51">
        <v>57220</v>
      </c>
      <c r="D282" s="51">
        <f>C282</f>
        <v>57220</v>
      </c>
      <c r="E282" s="51">
        <v>0</v>
      </c>
      <c r="F282" s="2">
        <f>D282-E282</f>
        <v>57220</v>
      </c>
      <c r="G282" s="58">
        <f>SUM(H282:M282)</f>
        <v>1</v>
      </c>
      <c r="H282" s="51"/>
      <c r="I282" s="51"/>
      <c r="J282" s="51">
        <v>0</v>
      </c>
      <c r="K282" s="51"/>
      <c r="L282" s="51">
        <v>1</v>
      </c>
      <c r="M282" s="51">
        <v>0</v>
      </c>
      <c r="N282" s="22"/>
    </row>
    <row r="283" spans="1:14" s="7" customFormat="1" ht="13.5" customHeight="1">
      <c r="A283" s="50"/>
      <c r="B283" s="171"/>
      <c r="C283" s="52"/>
      <c r="D283" s="52"/>
      <c r="E283" s="52"/>
      <c r="F283" s="1"/>
      <c r="G283" s="202"/>
      <c r="H283" s="52"/>
      <c r="I283" s="52"/>
      <c r="J283" s="52"/>
      <c r="K283" s="52"/>
      <c r="L283" s="52"/>
      <c r="M283" s="52"/>
      <c r="N283" s="22"/>
    </row>
    <row r="284" spans="1:14" s="7" customFormat="1" ht="13.5" customHeight="1">
      <c r="A284" s="50"/>
      <c r="B284" s="171"/>
      <c r="C284" s="52"/>
      <c r="D284" s="52"/>
      <c r="E284" s="52"/>
      <c r="F284" s="1"/>
      <c r="G284" s="202"/>
      <c r="H284" s="52"/>
      <c r="I284" s="52"/>
      <c r="J284" s="52"/>
      <c r="K284" s="52"/>
      <c r="L284" s="52"/>
      <c r="M284" s="52"/>
      <c r="N284" s="22"/>
    </row>
    <row r="285" spans="1:14" s="7" customFormat="1" ht="28.5" customHeight="1">
      <c r="A285" s="50">
        <v>4</v>
      </c>
      <c r="B285" s="192" t="s">
        <v>140</v>
      </c>
      <c r="C285" s="356">
        <v>2190</v>
      </c>
      <c r="D285" s="356">
        <f>C285</f>
        <v>2190</v>
      </c>
      <c r="E285" s="356">
        <v>0</v>
      </c>
      <c r="F285" s="2">
        <f>D285-E285</f>
        <v>2190</v>
      </c>
      <c r="G285" s="58">
        <f>SUM(H285:M285)</f>
        <v>1500</v>
      </c>
      <c r="H285" s="51"/>
      <c r="I285" s="51"/>
      <c r="J285" s="51">
        <v>0</v>
      </c>
      <c r="K285" s="51"/>
      <c r="L285" s="51">
        <v>1500</v>
      </c>
      <c r="M285" s="51">
        <v>0</v>
      </c>
      <c r="N285" s="22" t="s">
        <v>45</v>
      </c>
    </row>
    <row r="286" spans="1:14" s="7" customFormat="1" ht="17.25" customHeight="1">
      <c r="A286" s="50"/>
      <c r="B286" s="171" t="s">
        <v>141</v>
      </c>
      <c r="C286" s="51">
        <v>1309</v>
      </c>
      <c r="D286" s="51">
        <f>C286</f>
        <v>1309</v>
      </c>
      <c r="E286" s="51">
        <v>0</v>
      </c>
      <c r="F286" s="2">
        <f>D286-E286</f>
        <v>1309</v>
      </c>
      <c r="G286" s="58">
        <f>SUM(H286:M286)</f>
        <v>1309</v>
      </c>
      <c r="H286" s="51"/>
      <c r="I286" s="51"/>
      <c r="J286" s="51">
        <v>0</v>
      </c>
      <c r="K286" s="51"/>
      <c r="L286" s="51">
        <v>1309</v>
      </c>
      <c r="M286" s="51">
        <v>0</v>
      </c>
      <c r="N286" s="22"/>
    </row>
    <row r="287" spans="1:14" s="7" customFormat="1" ht="14.25" customHeight="1">
      <c r="A287" s="50"/>
      <c r="B287" s="171"/>
      <c r="C287" s="52"/>
      <c r="D287" s="52"/>
      <c r="E287" s="52"/>
      <c r="F287" s="1"/>
      <c r="G287" s="202"/>
      <c r="H287" s="52"/>
      <c r="I287" s="52"/>
      <c r="J287" s="52"/>
      <c r="K287" s="52"/>
      <c r="L287" s="52"/>
      <c r="M287" s="52"/>
      <c r="N287" s="22"/>
    </row>
    <row r="288" spans="1:14" s="7" customFormat="1" ht="14.25" customHeight="1">
      <c r="A288" s="50"/>
      <c r="B288" s="171"/>
      <c r="C288" s="52"/>
      <c r="D288" s="52"/>
      <c r="E288" s="52"/>
      <c r="F288" s="1"/>
      <c r="G288" s="202"/>
      <c r="H288" s="52"/>
      <c r="I288" s="52"/>
      <c r="J288" s="52"/>
      <c r="K288" s="52"/>
      <c r="L288" s="52"/>
      <c r="M288" s="52"/>
      <c r="N288" s="22"/>
    </row>
    <row r="289" spans="1:14" s="7" customFormat="1" ht="25.5" customHeight="1">
      <c r="A289" s="50">
        <v>5</v>
      </c>
      <c r="B289" s="192" t="s">
        <v>142</v>
      </c>
      <c r="C289" s="356">
        <v>22037</v>
      </c>
      <c r="D289" s="356">
        <f>C289</f>
        <v>22037</v>
      </c>
      <c r="E289" s="356">
        <v>0</v>
      </c>
      <c r="F289" s="2">
        <f>D289-E289</f>
        <v>22037</v>
      </c>
      <c r="G289" s="58">
        <f>SUM(H289:M289)</f>
        <v>7000</v>
      </c>
      <c r="H289" s="51"/>
      <c r="I289" s="51"/>
      <c r="J289" s="51">
        <v>0</v>
      </c>
      <c r="K289" s="51"/>
      <c r="L289" s="51">
        <v>7000</v>
      </c>
      <c r="M289" s="51">
        <v>0</v>
      </c>
      <c r="N289" s="22" t="s">
        <v>45</v>
      </c>
    </row>
    <row r="290" spans="1:14" s="7" customFormat="1" ht="17.25" customHeight="1">
      <c r="A290" s="50" t="s">
        <v>143</v>
      </c>
      <c r="B290" s="171" t="s">
        <v>144</v>
      </c>
      <c r="C290" s="51">
        <v>15019</v>
      </c>
      <c r="D290" s="51">
        <f>C290</f>
        <v>15019</v>
      </c>
      <c r="E290" s="51">
        <v>0</v>
      </c>
      <c r="F290" s="2">
        <f>D290-E290</f>
        <v>15019</v>
      </c>
      <c r="G290" s="58">
        <f>SUM(H290:M290)</f>
        <v>4771</v>
      </c>
      <c r="H290" s="51"/>
      <c r="I290" s="51"/>
      <c r="J290" s="51">
        <v>0</v>
      </c>
      <c r="K290" s="51"/>
      <c r="L290" s="51">
        <v>4771</v>
      </c>
      <c r="M290" s="51">
        <v>0</v>
      </c>
      <c r="N290" s="22"/>
    </row>
    <row r="291" spans="1:14" s="7" customFormat="1" ht="12.75" customHeight="1">
      <c r="A291" s="50"/>
      <c r="B291" s="171"/>
      <c r="C291" s="52"/>
      <c r="D291" s="52"/>
      <c r="E291" s="52"/>
      <c r="F291" s="1"/>
      <c r="G291" s="202"/>
      <c r="H291" s="52"/>
      <c r="I291" s="52"/>
      <c r="J291" s="52"/>
      <c r="K291" s="52"/>
      <c r="L291" s="52"/>
      <c r="M291" s="52"/>
      <c r="N291" s="22"/>
    </row>
    <row r="292" spans="1:14" s="7" customFormat="1" ht="12.75" customHeight="1">
      <c r="A292" s="50"/>
      <c r="B292" s="171"/>
      <c r="C292" s="52"/>
      <c r="D292" s="52"/>
      <c r="E292" s="52"/>
      <c r="F292" s="1"/>
      <c r="G292" s="202"/>
      <c r="H292" s="52"/>
      <c r="I292" s="52"/>
      <c r="J292" s="52"/>
      <c r="K292" s="52"/>
      <c r="L292" s="52"/>
      <c r="M292" s="52"/>
      <c r="N292" s="22"/>
    </row>
    <row r="293" spans="1:14" s="7" customFormat="1" ht="37.5" customHeight="1">
      <c r="A293" s="50">
        <v>6</v>
      </c>
      <c r="B293" s="192" t="s">
        <v>145</v>
      </c>
      <c r="C293" s="356">
        <v>10719</v>
      </c>
      <c r="D293" s="356">
        <v>12351</v>
      </c>
      <c r="E293" s="356">
        <v>0</v>
      </c>
      <c r="F293" s="2">
        <f>D293-E293</f>
        <v>12351</v>
      </c>
      <c r="G293" s="58">
        <f>SUM(H293:M293)</f>
        <v>10000</v>
      </c>
      <c r="H293" s="51"/>
      <c r="I293" s="51"/>
      <c r="J293" s="51">
        <v>0</v>
      </c>
      <c r="K293" s="51"/>
      <c r="L293" s="51">
        <v>10000</v>
      </c>
      <c r="M293" s="51">
        <v>0</v>
      </c>
      <c r="N293" s="22" t="s">
        <v>45</v>
      </c>
    </row>
    <row r="294" spans="1:14" s="7" customFormat="1" ht="26.25" customHeight="1">
      <c r="A294" s="50"/>
      <c r="B294" s="171" t="s">
        <v>146</v>
      </c>
      <c r="C294" s="51">
        <v>7711</v>
      </c>
      <c r="D294" s="51">
        <v>9850</v>
      </c>
      <c r="E294" s="51">
        <v>0</v>
      </c>
      <c r="F294" s="2">
        <f>D294-E294</f>
        <v>9850</v>
      </c>
      <c r="G294" s="58">
        <f>SUM(H294:M294)</f>
        <v>7975</v>
      </c>
      <c r="H294" s="51"/>
      <c r="I294" s="51"/>
      <c r="J294" s="51">
        <v>0</v>
      </c>
      <c r="K294" s="51"/>
      <c r="L294" s="51">
        <v>7975</v>
      </c>
      <c r="M294" s="51">
        <v>0</v>
      </c>
      <c r="N294" s="22"/>
    </row>
    <row r="295" spans="1:14" s="7" customFormat="1" ht="17.25" customHeight="1">
      <c r="A295" s="50"/>
      <c r="B295" s="171"/>
      <c r="C295" s="52"/>
      <c r="D295" s="52"/>
      <c r="E295" s="52"/>
      <c r="F295" s="1"/>
      <c r="G295" s="202"/>
      <c r="H295" s="52"/>
      <c r="I295" s="52"/>
      <c r="J295" s="52"/>
      <c r="K295" s="52"/>
      <c r="L295" s="52"/>
      <c r="M295" s="52"/>
      <c r="N295" s="22"/>
    </row>
    <row r="296" spans="1:14" s="7" customFormat="1" ht="12" customHeight="1">
      <c r="A296" s="50"/>
      <c r="B296" s="171"/>
      <c r="C296" s="52"/>
      <c r="D296" s="52"/>
      <c r="E296" s="52"/>
      <c r="F296" s="1"/>
      <c r="G296" s="202"/>
      <c r="H296" s="52"/>
      <c r="I296" s="52"/>
      <c r="J296" s="52"/>
      <c r="K296" s="52"/>
      <c r="L296" s="52"/>
      <c r="M296" s="52"/>
      <c r="N296" s="22"/>
    </row>
    <row r="297" spans="1:14" s="7" customFormat="1" ht="57">
      <c r="A297" s="50">
        <v>7</v>
      </c>
      <c r="B297" s="192" t="s">
        <v>147</v>
      </c>
      <c r="C297" s="356">
        <v>9527</v>
      </c>
      <c r="D297" s="356">
        <f>C297</f>
        <v>9527</v>
      </c>
      <c r="E297" s="356">
        <v>0</v>
      </c>
      <c r="F297" s="2">
        <f>D297-E297</f>
        <v>9527</v>
      </c>
      <c r="G297" s="58">
        <f>SUM(H297:M297)</f>
        <v>1000</v>
      </c>
      <c r="H297" s="51"/>
      <c r="I297" s="51"/>
      <c r="J297" s="51">
        <v>0</v>
      </c>
      <c r="K297" s="51"/>
      <c r="L297" s="51">
        <v>1000</v>
      </c>
      <c r="M297" s="51">
        <v>0</v>
      </c>
      <c r="N297" s="22" t="s">
        <v>45</v>
      </c>
    </row>
    <row r="298" spans="1:14" s="7" customFormat="1" ht="26.25" customHeight="1">
      <c r="A298" s="50"/>
      <c r="B298" s="171" t="s">
        <v>148</v>
      </c>
      <c r="C298" s="51">
        <v>7705</v>
      </c>
      <c r="D298" s="51">
        <f>C298</f>
        <v>7705</v>
      </c>
      <c r="E298" s="51">
        <v>0</v>
      </c>
      <c r="F298" s="2">
        <f>D298-E298</f>
        <v>7705</v>
      </c>
      <c r="G298" s="58">
        <f>SUM(H298:M298)</f>
        <v>850</v>
      </c>
      <c r="H298" s="51"/>
      <c r="I298" s="51"/>
      <c r="J298" s="51">
        <v>0</v>
      </c>
      <c r="K298" s="51"/>
      <c r="L298" s="51">
        <v>850</v>
      </c>
      <c r="M298" s="51">
        <v>0</v>
      </c>
      <c r="N298" s="22"/>
    </row>
    <row r="299" spans="1:14" s="7" customFormat="1" ht="12.75" customHeight="1">
      <c r="A299" s="50"/>
      <c r="B299" s="171"/>
      <c r="C299" s="52"/>
      <c r="D299" s="52"/>
      <c r="E299" s="52"/>
      <c r="F299" s="1"/>
      <c r="G299" s="202"/>
      <c r="H299" s="52"/>
      <c r="I299" s="52"/>
      <c r="J299" s="52"/>
      <c r="K299" s="52"/>
      <c r="L299" s="52"/>
      <c r="M299" s="52"/>
      <c r="N299" s="22"/>
    </row>
    <row r="300" spans="1:14" s="7" customFormat="1" ht="12.75" customHeight="1">
      <c r="A300" s="50"/>
      <c r="B300" s="171"/>
      <c r="C300" s="52"/>
      <c r="D300" s="52"/>
      <c r="E300" s="52"/>
      <c r="F300" s="1"/>
      <c r="G300" s="202"/>
      <c r="H300" s="52"/>
      <c r="I300" s="52"/>
      <c r="J300" s="52"/>
      <c r="K300" s="52"/>
      <c r="L300" s="52"/>
      <c r="M300" s="52"/>
      <c r="N300" s="22"/>
    </row>
    <row r="301" spans="1:14" s="7" customFormat="1" ht="71.25">
      <c r="A301" s="50">
        <v>8</v>
      </c>
      <c r="B301" s="192" t="s">
        <v>149</v>
      </c>
      <c r="C301" s="356">
        <v>16769</v>
      </c>
      <c r="D301" s="356">
        <f>C301</f>
        <v>16769</v>
      </c>
      <c r="E301" s="356">
        <v>0</v>
      </c>
      <c r="F301" s="2">
        <f>D301-E301</f>
        <v>16769</v>
      </c>
      <c r="G301" s="58">
        <f>SUM(H301:M301)</f>
        <v>13000</v>
      </c>
      <c r="H301" s="51"/>
      <c r="I301" s="51"/>
      <c r="J301" s="51">
        <v>0</v>
      </c>
      <c r="K301" s="51"/>
      <c r="L301" s="51">
        <v>13000</v>
      </c>
      <c r="M301" s="51">
        <v>0</v>
      </c>
      <c r="N301" s="22" t="s">
        <v>45</v>
      </c>
    </row>
    <row r="302" spans="1:14" s="7" customFormat="1" ht="17.25" customHeight="1">
      <c r="A302" s="50"/>
      <c r="B302" s="171" t="s">
        <v>150</v>
      </c>
      <c r="C302" s="51">
        <v>9998</v>
      </c>
      <c r="D302" s="51">
        <f>C302</f>
        <v>9998</v>
      </c>
      <c r="E302" s="51">
        <v>0</v>
      </c>
      <c r="F302" s="2">
        <f>D302-E302</f>
        <v>9998</v>
      </c>
      <c r="G302" s="58">
        <f>SUM(H302:M302)</f>
        <v>7751</v>
      </c>
      <c r="H302" s="51"/>
      <c r="I302" s="51"/>
      <c r="J302" s="51">
        <v>0</v>
      </c>
      <c r="K302" s="51"/>
      <c r="L302" s="51">
        <v>7751</v>
      </c>
      <c r="M302" s="51">
        <v>0</v>
      </c>
      <c r="N302" s="22"/>
    </row>
    <row r="303" spans="1:14" s="7" customFormat="1" ht="17.25" customHeight="1">
      <c r="A303" s="50"/>
      <c r="B303" s="171"/>
      <c r="C303" s="52"/>
      <c r="D303" s="52"/>
      <c r="E303" s="52"/>
      <c r="F303" s="1"/>
      <c r="G303" s="202"/>
      <c r="H303" s="52"/>
      <c r="I303" s="52"/>
      <c r="J303" s="52"/>
      <c r="K303" s="52"/>
      <c r="L303" s="52"/>
      <c r="M303" s="52"/>
      <c r="N303" s="22"/>
    </row>
    <row r="304" spans="1:14" s="7" customFormat="1" ht="17.25" customHeight="1">
      <c r="A304" s="50"/>
      <c r="B304" s="171"/>
      <c r="C304" s="52"/>
      <c r="D304" s="52"/>
      <c r="E304" s="52"/>
      <c r="F304" s="1"/>
      <c r="G304" s="202"/>
      <c r="H304" s="52"/>
      <c r="I304" s="52"/>
      <c r="J304" s="52"/>
      <c r="K304" s="52"/>
      <c r="L304" s="52"/>
      <c r="M304" s="52"/>
      <c r="N304" s="22"/>
    </row>
    <row r="305" spans="1:14" s="7" customFormat="1" ht="42.75">
      <c r="A305" s="50">
        <v>9</v>
      </c>
      <c r="B305" s="192" t="s">
        <v>151</v>
      </c>
      <c r="C305" s="356">
        <v>11855</v>
      </c>
      <c r="D305" s="356">
        <f>C305</f>
        <v>11855</v>
      </c>
      <c r="E305" s="356">
        <v>0</v>
      </c>
      <c r="F305" s="2">
        <f>D305-E305</f>
        <v>11855</v>
      </c>
      <c r="G305" s="58">
        <f>SUM(H305:M305)</f>
        <v>10000</v>
      </c>
      <c r="H305" s="51"/>
      <c r="I305" s="51"/>
      <c r="J305" s="51">
        <v>0</v>
      </c>
      <c r="K305" s="51"/>
      <c r="L305" s="51">
        <v>10000</v>
      </c>
      <c r="M305" s="51">
        <v>0</v>
      </c>
      <c r="N305" s="22" t="s">
        <v>45</v>
      </c>
    </row>
    <row r="306" spans="1:14" s="7" customFormat="1" ht="22.5" customHeight="1">
      <c r="A306" s="50"/>
      <c r="B306" s="171" t="s">
        <v>150</v>
      </c>
      <c r="C306" s="51">
        <v>9070</v>
      </c>
      <c r="D306" s="51">
        <f>C306</f>
        <v>9070</v>
      </c>
      <c r="E306" s="51">
        <v>0</v>
      </c>
      <c r="F306" s="2">
        <f>D306-E306</f>
        <v>9070</v>
      </c>
      <c r="G306" s="58">
        <f>SUM(H306:M306)</f>
        <v>7650.7802614930406</v>
      </c>
      <c r="H306" s="51"/>
      <c r="I306" s="51"/>
      <c r="J306" s="51">
        <v>0</v>
      </c>
      <c r="K306" s="51"/>
      <c r="L306" s="51">
        <f>(C306/C305)*L305</f>
        <v>7650.7802614930406</v>
      </c>
      <c r="M306" s="51">
        <v>0</v>
      </c>
      <c r="N306" s="22"/>
    </row>
    <row r="307" spans="1:14" s="7" customFormat="1" ht="14.25" customHeight="1">
      <c r="A307" s="50"/>
      <c r="B307" s="171"/>
      <c r="C307" s="52"/>
      <c r="D307" s="52"/>
      <c r="E307" s="52"/>
      <c r="F307" s="1"/>
      <c r="G307" s="202"/>
      <c r="H307" s="52"/>
      <c r="I307" s="52"/>
      <c r="J307" s="52"/>
      <c r="K307" s="52"/>
      <c r="L307" s="52"/>
      <c r="M307" s="52"/>
      <c r="N307" s="22"/>
    </row>
    <row r="308" spans="1:14" s="7" customFormat="1" ht="14.25" customHeight="1">
      <c r="A308" s="50"/>
      <c r="B308" s="171"/>
      <c r="C308" s="52"/>
      <c r="D308" s="52"/>
      <c r="E308" s="52"/>
      <c r="F308" s="1"/>
      <c r="G308" s="202"/>
      <c r="H308" s="52"/>
      <c r="I308" s="52"/>
      <c r="J308" s="52"/>
      <c r="K308" s="52"/>
      <c r="L308" s="52"/>
      <c r="M308" s="52"/>
      <c r="N308" s="22"/>
    </row>
    <row r="309" spans="1:14" s="7" customFormat="1" ht="35.25" customHeight="1">
      <c r="A309" s="50">
        <v>10</v>
      </c>
      <c r="B309" s="192" t="s">
        <v>152</v>
      </c>
      <c r="C309" s="51">
        <v>22224</v>
      </c>
      <c r="D309" s="51">
        <v>22224</v>
      </c>
      <c r="E309" s="51">
        <v>0</v>
      </c>
      <c r="F309" s="2">
        <f>D309-E309</f>
        <v>22224</v>
      </c>
      <c r="G309" s="58">
        <f>SUM(H309:M309)</f>
        <v>17600</v>
      </c>
      <c r="H309" s="51"/>
      <c r="I309" s="51"/>
      <c r="J309" s="51"/>
      <c r="K309" s="51"/>
      <c r="L309" s="51">
        <v>17600</v>
      </c>
      <c r="M309" s="51"/>
      <c r="N309" s="22" t="s">
        <v>153</v>
      </c>
    </row>
    <row r="310" spans="1:14" s="7" customFormat="1" ht="19.5" customHeight="1">
      <c r="A310" s="50"/>
      <c r="B310" s="32" t="s">
        <v>154</v>
      </c>
      <c r="C310" s="51">
        <v>16761</v>
      </c>
      <c r="D310" s="51">
        <f>C310</f>
        <v>16761</v>
      </c>
      <c r="E310" s="51">
        <v>0</v>
      </c>
      <c r="F310" s="2">
        <f>D310-E310</f>
        <v>16761</v>
      </c>
      <c r="G310" s="58">
        <f>SUM(H310:M310)</f>
        <v>13273.65010799136</v>
      </c>
      <c r="H310" s="51"/>
      <c r="I310" s="51"/>
      <c r="J310" s="51"/>
      <c r="K310" s="51"/>
      <c r="L310" s="51">
        <f>(C310/C309)*L309</f>
        <v>13273.65010799136</v>
      </c>
      <c r="M310" s="51"/>
      <c r="N310" s="22"/>
    </row>
    <row r="311" spans="1:14" s="7" customFormat="1" ht="17.25" customHeight="1">
      <c r="A311" s="50"/>
      <c r="B311" s="171"/>
      <c r="C311" s="52"/>
      <c r="D311" s="52"/>
      <c r="E311" s="52"/>
      <c r="F311" s="1"/>
      <c r="G311" s="202"/>
      <c r="H311" s="52"/>
      <c r="I311" s="52"/>
      <c r="J311" s="52"/>
      <c r="K311" s="52"/>
      <c r="L311" s="52"/>
      <c r="M311" s="52"/>
      <c r="N311" s="22"/>
    </row>
    <row r="312" spans="1:14" s="7" customFormat="1" ht="29.25" customHeight="1">
      <c r="A312" s="18"/>
      <c r="B312" s="32"/>
      <c r="C312" s="1"/>
      <c r="D312" s="1"/>
      <c r="E312" s="1"/>
      <c r="F312" s="1"/>
      <c r="G312" s="46"/>
      <c r="H312" s="1"/>
      <c r="I312" s="1"/>
      <c r="J312" s="1"/>
      <c r="K312" s="1"/>
      <c r="L312" s="1"/>
      <c r="M312" s="1"/>
      <c r="N312" s="22"/>
    </row>
    <row r="313" spans="1:14" s="7" customFormat="1" ht="29.25" customHeight="1">
      <c r="A313" s="18" t="s">
        <v>37</v>
      </c>
      <c r="B313" s="34" t="s">
        <v>60</v>
      </c>
      <c r="C313" s="17">
        <f>C316+C317+C318</f>
        <v>13270</v>
      </c>
      <c r="D313" s="17">
        <f t="shared" ref="D313:M313" si="33">D316+D317+D318</f>
        <v>13270</v>
      </c>
      <c r="E313" s="17">
        <f t="shared" si="33"/>
        <v>1526</v>
      </c>
      <c r="F313" s="17">
        <f t="shared" si="33"/>
        <v>11744</v>
      </c>
      <c r="G313" s="17">
        <f t="shared" si="33"/>
        <v>11744</v>
      </c>
      <c r="H313" s="17">
        <f t="shared" si="33"/>
        <v>0</v>
      </c>
      <c r="I313" s="17">
        <f t="shared" si="33"/>
        <v>0</v>
      </c>
      <c r="J313" s="17">
        <f t="shared" si="33"/>
        <v>16</v>
      </c>
      <c r="K313" s="17">
        <f t="shared" si="33"/>
        <v>5670</v>
      </c>
      <c r="L313" s="17">
        <f t="shared" si="33"/>
        <v>6058</v>
      </c>
      <c r="M313" s="17">
        <f t="shared" si="33"/>
        <v>0</v>
      </c>
      <c r="N313" s="22"/>
    </row>
    <row r="314" spans="1:14" s="7" customFormat="1" ht="29.25" customHeight="1">
      <c r="A314" s="18"/>
      <c r="B314" s="35" t="s">
        <v>61</v>
      </c>
      <c r="C314" s="17"/>
      <c r="D314" s="17"/>
      <c r="E314" s="17"/>
      <c r="F314" s="17"/>
      <c r="G314" s="17"/>
      <c r="H314" s="17"/>
      <c r="I314" s="17"/>
      <c r="J314" s="17"/>
      <c r="K314" s="17"/>
      <c r="L314" s="17"/>
      <c r="M314" s="17"/>
      <c r="N314" s="22"/>
    </row>
    <row r="315" spans="1:14" s="7" customFormat="1" ht="29.25" customHeight="1">
      <c r="A315" s="12"/>
      <c r="B315" s="16" t="s">
        <v>42</v>
      </c>
      <c r="C315" s="1"/>
      <c r="D315" s="1"/>
      <c r="E315" s="1"/>
      <c r="F315" s="1"/>
      <c r="G315" s="46"/>
      <c r="H315" s="1"/>
      <c r="I315" s="1"/>
      <c r="J315" s="1"/>
      <c r="K315" s="1"/>
      <c r="L315" s="1"/>
      <c r="M315" s="1"/>
      <c r="N315" s="22"/>
    </row>
    <row r="316" spans="1:14" s="7" customFormat="1" ht="29.25" customHeight="1">
      <c r="A316" s="43"/>
      <c r="B316" s="23" t="s">
        <v>62</v>
      </c>
      <c r="C316" s="1">
        <f>'A3 - STUDII SI PROIECTE 2024'!D141</f>
        <v>4939</v>
      </c>
      <c r="D316" s="1">
        <f>'A3 - STUDII SI PROIECTE 2024'!E141</f>
        <v>4939</v>
      </c>
      <c r="E316" s="1">
        <f>'A3 - STUDII SI PROIECTE 2024'!F141</f>
        <v>992</v>
      </c>
      <c r="F316" s="1">
        <f>'A3 - STUDII SI PROIECTE 2024'!G141</f>
        <v>3947</v>
      </c>
      <c r="G316" s="46">
        <f>'A3 - STUDII SI PROIECTE 2024'!H141</f>
        <v>3947</v>
      </c>
      <c r="H316" s="1">
        <f>'A3 - STUDII SI PROIECTE 2024'!I141</f>
        <v>0</v>
      </c>
      <c r="I316" s="1">
        <f>'A3 - STUDII SI PROIECTE 2024'!J141</f>
        <v>0</v>
      </c>
      <c r="J316" s="1">
        <f>'A3 - STUDII SI PROIECTE 2024'!K141</f>
        <v>11</v>
      </c>
      <c r="K316" s="1">
        <f>'A3 - STUDII SI PROIECTE 2024'!L141</f>
        <v>330</v>
      </c>
      <c r="L316" s="1">
        <f>'A3 - STUDII SI PROIECTE 2024'!M141</f>
        <v>3606</v>
      </c>
      <c r="M316" s="1">
        <f>'A3 - STUDII SI PROIECTE 2024'!N141</f>
        <v>0</v>
      </c>
      <c r="N316" s="22"/>
    </row>
    <row r="317" spans="1:14" s="7" customFormat="1" ht="29.25" customHeight="1">
      <c r="A317" s="43"/>
      <c r="B317" s="23" t="s">
        <v>155</v>
      </c>
      <c r="C317" s="1">
        <f>'A3 - DOTARI 2024'!D99</f>
        <v>2370</v>
      </c>
      <c r="D317" s="1">
        <f>'A3 - DOTARI 2024'!E99</f>
        <v>2370</v>
      </c>
      <c r="E317" s="1">
        <f>'A3 - DOTARI 2024'!F99</f>
        <v>0</v>
      </c>
      <c r="F317" s="1">
        <f>'A3 - DOTARI 2024'!G99</f>
        <v>2370</v>
      </c>
      <c r="G317" s="46">
        <f>'A3 - DOTARI 2024'!H99</f>
        <v>2370</v>
      </c>
      <c r="H317" s="1">
        <f>'A3 - DOTARI 2024'!I99</f>
        <v>0</v>
      </c>
      <c r="I317" s="1">
        <f>'A3 - DOTARI 2024'!J99</f>
        <v>0</v>
      </c>
      <c r="J317" s="1">
        <f>'A3 - DOTARI 2024'!K99</f>
        <v>5</v>
      </c>
      <c r="K317" s="1">
        <f>'A3 - DOTARI 2024'!L99</f>
        <v>2365</v>
      </c>
      <c r="L317" s="1">
        <f>'A3 - DOTARI 2024'!M99</f>
        <v>0</v>
      </c>
      <c r="M317" s="1">
        <f>'A3 - DOTARI 2024'!N99</f>
        <v>0</v>
      </c>
      <c r="N317" s="22"/>
    </row>
    <row r="318" spans="1:14" s="7" customFormat="1" ht="29.25" customHeight="1">
      <c r="A318" s="43"/>
      <c r="B318" s="23" t="s">
        <v>130</v>
      </c>
      <c r="C318" s="1">
        <f>'A3 - ALTE CHELTUIELI 2024'!D50</f>
        <v>5961</v>
      </c>
      <c r="D318" s="1">
        <f>'A3 - ALTE CHELTUIELI 2024'!E50</f>
        <v>5961</v>
      </c>
      <c r="E318" s="1">
        <f>'A3 - ALTE CHELTUIELI 2024'!F50</f>
        <v>534</v>
      </c>
      <c r="F318" s="1">
        <f>'A3 - ALTE CHELTUIELI 2024'!G50</f>
        <v>5427</v>
      </c>
      <c r="G318" s="1">
        <f>'A3 - ALTE CHELTUIELI 2024'!H50</f>
        <v>5427</v>
      </c>
      <c r="H318" s="1">
        <f>'A3 - ALTE CHELTUIELI 2024'!I50</f>
        <v>0</v>
      </c>
      <c r="I318" s="1">
        <f>'A3 - ALTE CHELTUIELI 2024'!J50</f>
        <v>0</v>
      </c>
      <c r="J318" s="1">
        <f>'A3 - ALTE CHELTUIELI 2024'!K50</f>
        <v>0</v>
      </c>
      <c r="K318" s="1">
        <f>'A3 - ALTE CHELTUIELI 2024'!L50</f>
        <v>2975</v>
      </c>
      <c r="L318" s="1">
        <f>'A3 - ALTE CHELTUIELI 2024'!M50</f>
        <v>2452</v>
      </c>
      <c r="M318" s="1">
        <f>'A3 - ALTE CHELTUIELI 2024'!N50</f>
        <v>0</v>
      </c>
      <c r="N318" s="22"/>
    </row>
    <row r="319" spans="1:14" s="7" customFormat="1" ht="29.25" customHeight="1">
      <c r="A319" s="43"/>
      <c r="B319" s="23"/>
      <c r="C319" s="1"/>
      <c r="D319" s="1"/>
      <c r="E319" s="1"/>
      <c r="F319" s="1"/>
      <c r="G319" s="46"/>
      <c r="H319" s="1"/>
      <c r="I319" s="1"/>
      <c r="J319" s="1"/>
      <c r="K319" s="1"/>
      <c r="L319" s="1"/>
      <c r="M319" s="1"/>
      <c r="N319" s="22"/>
    </row>
    <row r="320" spans="1:14" s="7" customFormat="1" ht="16.5" customHeight="1">
      <c r="A320" s="43"/>
      <c r="B320" s="23"/>
      <c r="C320" s="1"/>
      <c r="D320" s="1"/>
      <c r="E320" s="1"/>
      <c r="F320" s="1"/>
      <c r="G320" s="46"/>
      <c r="H320" s="1"/>
      <c r="I320" s="1"/>
      <c r="J320" s="1"/>
      <c r="K320" s="1"/>
      <c r="L320" s="1"/>
      <c r="M320" s="1"/>
      <c r="N320" s="22"/>
    </row>
    <row r="321" spans="1:14" s="7" customFormat="1" ht="16.5" customHeight="1">
      <c r="A321" s="43"/>
      <c r="B321" s="23"/>
      <c r="C321" s="1"/>
      <c r="D321" s="1"/>
      <c r="E321" s="1"/>
      <c r="F321" s="1"/>
      <c r="G321" s="46"/>
      <c r="H321" s="1"/>
      <c r="I321" s="1"/>
      <c r="J321" s="1"/>
      <c r="K321" s="1"/>
      <c r="L321" s="1"/>
      <c r="M321" s="1"/>
      <c r="N321" s="22"/>
    </row>
    <row r="322" spans="1:14" s="7" customFormat="1" ht="16.5" customHeight="1">
      <c r="A322" s="43"/>
      <c r="B322" s="23"/>
      <c r="C322" s="1"/>
      <c r="D322" s="1"/>
      <c r="E322" s="1"/>
      <c r="F322" s="1"/>
      <c r="G322" s="46"/>
      <c r="H322" s="1"/>
      <c r="I322" s="1"/>
      <c r="J322" s="1"/>
      <c r="K322" s="1"/>
      <c r="L322" s="1"/>
      <c r="M322" s="1"/>
      <c r="N322" s="22"/>
    </row>
    <row r="323" spans="1:14" s="7" customFormat="1" ht="16.5" customHeight="1">
      <c r="A323" s="43"/>
      <c r="B323" s="23"/>
      <c r="C323" s="1"/>
      <c r="D323" s="1"/>
      <c r="E323" s="1"/>
      <c r="F323" s="1"/>
      <c r="G323" s="46"/>
      <c r="H323" s="1"/>
      <c r="I323" s="1"/>
      <c r="J323" s="1"/>
      <c r="K323" s="1"/>
      <c r="L323" s="1"/>
      <c r="M323" s="1"/>
      <c r="N323" s="22"/>
    </row>
    <row r="324" spans="1:14" s="7" customFormat="1" ht="16.5" customHeight="1">
      <c r="A324" s="43"/>
      <c r="B324" s="23"/>
      <c r="C324" s="1"/>
      <c r="D324" s="1"/>
      <c r="E324" s="1"/>
      <c r="F324" s="1"/>
      <c r="G324" s="46"/>
      <c r="H324" s="1"/>
      <c r="I324" s="1"/>
      <c r="J324" s="1"/>
      <c r="K324" s="1"/>
      <c r="L324" s="1"/>
      <c r="M324" s="1"/>
      <c r="N324" s="22"/>
    </row>
    <row r="325" spans="1:14" s="7" customFormat="1" ht="16.5" customHeight="1">
      <c r="A325" s="43"/>
      <c r="B325" s="23"/>
      <c r="C325" s="1"/>
      <c r="D325" s="1"/>
      <c r="E325" s="1"/>
      <c r="F325" s="1"/>
      <c r="G325" s="46"/>
      <c r="H325" s="1"/>
      <c r="I325" s="1"/>
      <c r="J325" s="1"/>
      <c r="K325" s="1"/>
      <c r="L325" s="1"/>
      <c r="M325" s="1"/>
      <c r="N325" s="22"/>
    </row>
    <row r="326" spans="1:14" s="7" customFormat="1" ht="16.5" customHeight="1">
      <c r="A326" s="43"/>
      <c r="B326" s="23"/>
      <c r="C326" s="1"/>
      <c r="D326" s="1"/>
      <c r="E326" s="1"/>
      <c r="F326" s="1"/>
      <c r="G326" s="46"/>
      <c r="H326" s="1"/>
      <c r="I326" s="1"/>
      <c r="J326" s="1"/>
      <c r="K326" s="1"/>
      <c r="L326" s="1"/>
      <c r="M326" s="1"/>
      <c r="N326" s="22"/>
    </row>
    <row r="327" spans="1:14" s="7" customFormat="1" ht="16.5" customHeight="1">
      <c r="A327" s="43"/>
      <c r="B327" s="23"/>
      <c r="C327" s="1"/>
      <c r="D327" s="1"/>
      <c r="E327" s="1"/>
      <c r="F327" s="1"/>
      <c r="G327" s="46"/>
      <c r="H327" s="1"/>
      <c r="I327" s="1"/>
      <c r="J327" s="1"/>
      <c r="K327" s="1"/>
      <c r="L327" s="1"/>
      <c r="M327" s="1"/>
      <c r="N327" s="22"/>
    </row>
    <row r="328" spans="1:14" s="7" customFormat="1" ht="16.5" customHeight="1">
      <c r="A328" s="43"/>
      <c r="B328" s="23"/>
      <c r="C328" s="1"/>
      <c r="D328" s="1"/>
      <c r="E328" s="1"/>
      <c r="F328" s="1"/>
      <c r="G328" s="46"/>
      <c r="H328" s="1"/>
      <c r="I328" s="1"/>
      <c r="J328" s="1"/>
      <c r="K328" s="1"/>
      <c r="L328" s="1"/>
      <c r="M328" s="1"/>
      <c r="N328" s="22"/>
    </row>
    <row r="329" spans="1:14" s="7" customFormat="1" ht="16.5" customHeight="1">
      <c r="A329" s="43"/>
      <c r="B329" s="23"/>
      <c r="C329" s="1"/>
      <c r="D329" s="1"/>
      <c r="E329" s="1"/>
      <c r="F329" s="1"/>
      <c r="G329" s="46"/>
      <c r="H329" s="1"/>
      <c r="I329" s="1"/>
      <c r="J329" s="1"/>
      <c r="K329" s="1"/>
      <c r="L329" s="1"/>
      <c r="M329" s="1"/>
      <c r="N329" s="22"/>
    </row>
    <row r="330" spans="1:14" s="7" customFormat="1" ht="16.5" customHeight="1">
      <c r="A330" s="43"/>
      <c r="B330" s="23"/>
      <c r="C330" s="1"/>
      <c r="D330" s="1"/>
      <c r="E330" s="1"/>
      <c r="F330" s="1"/>
      <c r="G330" s="46"/>
      <c r="H330" s="1"/>
      <c r="I330" s="1"/>
      <c r="J330" s="1"/>
      <c r="K330" s="1"/>
      <c r="L330" s="1"/>
      <c r="M330" s="1"/>
      <c r="N330" s="22"/>
    </row>
    <row r="331" spans="1:14" s="7" customFormat="1" ht="16.5" customHeight="1">
      <c r="A331" s="43"/>
      <c r="B331" s="23"/>
      <c r="C331" s="1"/>
      <c r="D331" s="1"/>
      <c r="E331" s="1"/>
      <c r="F331" s="1"/>
      <c r="G331" s="46"/>
      <c r="H331" s="1"/>
      <c r="I331" s="1"/>
      <c r="J331" s="1"/>
      <c r="K331" s="1"/>
      <c r="L331" s="1"/>
      <c r="M331" s="1"/>
      <c r="N331" s="22"/>
    </row>
    <row r="332" spans="1:14" s="11" customFormat="1" ht="30" customHeight="1">
      <c r="A332" s="12"/>
      <c r="B332" s="144" t="s">
        <v>156</v>
      </c>
      <c r="C332" s="13" t="s">
        <v>157</v>
      </c>
      <c r="D332" s="14"/>
      <c r="E332" s="14"/>
      <c r="F332" s="14"/>
      <c r="G332" s="46"/>
      <c r="H332" s="46"/>
      <c r="I332" s="46"/>
      <c r="J332" s="46"/>
      <c r="K332" s="46"/>
      <c r="L332" s="46"/>
      <c r="M332" s="1" t="s">
        <v>41</v>
      </c>
      <c r="N332" s="24"/>
    </row>
    <row r="333" spans="1:14" s="41" customFormat="1" ht="23.25" customHeight="1">
      <c r="A333" s="15"/>
      <c r="B333" s="16" t="s">
        <v>42</v>
      </c>
      <c r="C333" s="17">
        <f t="shared" ref="C333:M333" si="34">C336+C339+C344</f>
        <v>76</v>
      </c>
      <c r="D333" s="17">
        <f t="shared" si="34"/>
        <v>76</v>
      </c>
      <c r="E333" s="17">
        <f t="shared" si="34"/>
        <v>0</v>
      </c>
      <c r="F333" s="17">
        <f t="shared" si="34"/>
        <v>76</v>
      </c>
      <c r="G333" s="17">
        <f t="shared" si="34"/>
        <v>76</v>
      </c>
      <c r="H333" s="17">
        <f t="shared" si="34"/>
        <v>0</v>
      </c>
      <c r="I333" s="17">
        <f t="shared" si="34"/>
        <v>0</v>
      </c>
      <c r="J333" s="17">
        <f t="shared" si="34"/>
        <v>0</v>
      </c>
      <c r="K333" s="17">
        <f t="shared" si="34"/>
        <v>0</v>
      </c>
      <c r="L333" s="17">
        <f t="shared" si="34"/>
        <v>76</v>
      </c>
      <c r="M333" s="17">
        <f t="shared" si="34"/>
        <v>0</v>
      </c>
      <c r="N333" s="22"/>
    </row>
    <row r="334" spans="1:14" s="41" customFormat="1" ht="23.25" customHeight="1">
      <c r="A334" s="18"/>
      <c r="B334" s="16"/>
      <c r="C334" s="17">
        <f t="shared" ref="C334:M334" si="35">C337+C340+C345</f>
        <v>0</v>
      </c>
      <c r="D334" s="17">
        <f t="shared" si="35"/>
        <v>0</v>
      </c>
      <c r="E334" s="17">
        <f t="shared" si="35"/>
        <v>0</v>
      </c>
      <c r="F334" s="17">
        <f t="shared" si="35"/>
        <v>0</v>
      </c>
      <c r="G334" s="17">
        <f t="shared" si="35"/>
        <v>0</v>
      </c>
      <c r="H334" s="17">
        <f t="shared" si="35"/>
        <v>0</v>
      </c>
      <c r="I334" s="17">
        <f t="shared" si="35"/>
        <v>0</v>
      </c>
      <c r="J334" s="17">
        <f t="shared" si="35"/>
        <v>0</v>
      </c>
      <c r="K334" s="17">
        <f t="shared" si="35"/>
        <v>0</v>
      </c>
      <c r="L334" s="17">
        <f t="shared" si="35"/>
        <v>0</v>
      </c>
      <c r="M334" s="17">
        <f t="shared" si="35"/>
        <v>0</v>
      </c>
      <c r="N334" s="22"/>
    </row>
    <row r="335" spans="1:14" s="41" customFormat="1" ht="20.25" customHeight="1">
      <c r="A335" s="12"/>
      <c r="B335" s="129"/>
      <c r="C335" s="1"/>
      <c r="D335" s="1"/>
      <c r="E335" s="1"/>
      <c r="F335" s="1"/>
      <c r="G335" s="46"/>
      <c r="H335" s="46"/>
      <c r="I335" s="46"/>
      <c r="J335" s="46"/>
      <c r="K335" s="46"/>
      <c r="L335" s="46"/>
      <c r="M335" s="46"/>
      <c r="N335" s="22"/>
    </row>
    <row r="336" spans="1:14" s="11" customFormat="1" ht="23.25" customHeight="1">
      <c r="A336" s="18" t="s">
        <v>32</v>
      </c>
      <c r="B336" s="34" t="s">
        <v>33</v>
      </c>
      <c r="C336" s="17">
        <v>0</v>
      </c>
      <c r="D336" s="17">
        <v>0</v>
      </c>
      <c r="E336" s="17">
        <v>0</v>
      </c>
      <c r="F336" s="17">
        <v>0</v>
      </c>
      <c r="G336" s="17">
        <v>0</v>
      </c>
      <c r="H336" s="17">
        <v>0</v>
      </c>
      <c r="I336" s="17">
        <v>0</v>
      </c>
      <c r="J336" s="17">
        <v>0</v>
      </c>
      <c r="K336" s="17">
        <v>0</v>
      </c>
      <c r="L336" s="17">
        <v>0</v>
      </c>
      <c r="M336" s="17">
        <v>0</v>
      </c>
      <c r="N336" s="24"/>
    </row>
    <row r="337" spans="1:14" s="11" customFormat="1" ht="23.25" customHeight="1">
      <c r="A337" s="18"/>
      <c r="B337" s="35" t="s">
        <v>34</v>
      </c>
      <c r="C337" s="17">
        <v>0</v>
      </c>
      <c r="D337" s="17">
        <v>0</v>
      </c>
      <c r="E337" s="17">
        <v>0</v>
      </c>
      <c r="F337" s="17">
        <v>0</v>
      </c>
      <c r="G337" s="17">
        <v>0</v>
      </c>
      <c r="H337" s="17">
        <v>0</v>
      </c>
      <c r="I337" s="17">
        <v>0</v>
      </c>
      <c r="J337" s="17">
        <v>0</v>
      </c>
      <c r="K337" s="17">
        <v>0</v>
      </c>
      <c r="L337" s="17">
        <v>0</v>
      </c>
      <c r="M337" s="17">
        <v>0</v>
      </c>
      <c r="N337" s="24"/>
    </row>
    <row r="338" spans="1:14" s="11" customFormat="1" ht="15.75">
      <c r="A338" s="18"/>
      <c r="B338" s="32"/>
      <c r="C338" s="1"/>
      <c r="D338" s="1"/>
      <c r="E338" s="1"/>
      <c r="F338" s="1"/>
      <c r="G338" s="46"/>
      <c r="H338" s="1"/>
      <c r="I338" s="1"/>
      <c r="J338" s="1"/>
      <c r="K338" s="1"/>
      <c r="L338" s="1"/>
      <c r="M338" s="1"/>
      <c r="N338" s="24"/>
    </row>
    <row r="339" spans="1:14" s="41" customFormat="1" ht="22.5" customHeight="1">
      <c r="A339" s="18" t="s">
        <v>35</v>
      </c>
      <c r="B339" s="34" t="s">
        <v>43</v>
      </c>
      <c r="C339" s="17">
        <v>0</v>
      </c>
      <c r="D339" s="17">
        <v>0</v>
      </c>
      <c r="E339" s="17">
        <v>0</v>
      </c>
      <c r="F339" s="17">
        <v>0</v>
      </c>
      <c r="G339" s="17">
        <v>0</v>
      </c>
      <c r="H339" s="17">
        <v>0</v>
      </c>
      <c r="I339" s="17">
        <v>0</v>
      </c>
      <c r="J339" s="17">
        <v>0</v>
      </c>
      <c r="K339" s="17">
        <v>0</v>
      </c>
      <c r="L339" s="17">
        <v>0</v>
      </c>
      <c r="M339" s="17">
        <v>0</v>
      </c>
      <c r="N339" s="22"/>
    </row>
    <row r="340" spans="1:14" s="41" customFormat="1" ht="22.5" customHeight="1">
      <c r="A340" s="18"/>
      <c r="B340" s="35" t="s">
        <v>36</v>
      </c>
      <c r="C340" s="17">
        <v>0</v>
      </c>
      <c r="D340" s="17">
        <v>0</v>
      </c>
      <c r="E340" s="17">
        <v>0</v>
      </c>
      <c r="F340" s="17">
        <v>0</v>
      </c>
      <c r="G340" s="17">
        <v>0</v>
      </c>
      <c r="H340" s="17">
        <v>0</v>
      </c>
      <c r="I340" s="17">
        <v>0</v>
      </c>
      <c r="J340" s="17">
        <v>0</v>
      </c>
      <c r="K340" s="17">
        <v>0</v>
      </c>
      <c r="L340" s="17">
        <v>0</v>
      </c>
      <c r="M340" s="17">
        <v>0</v>
      </c>
      <c r="N340" s="22"/>
    </row>
    <row r="341" spans="1:14" s="41" customFormat="1" ht="36.75" customHeight="1">
      <c r="A341" s="18"/>
      <c r="B341" s="16" t="s">
        <v>42</v>
      </c>
      <c r="C341" s="1"/>
      <c r="D341" s="1"/>
      <c r="E341" s="1"/>
      <c r="F341" s="1"/>
      <c r="G341" s="46"/>
      <c r="H341" s="1"/>
      <c r="I341" s="1"/>
      <c r="J341" s="1"/>
      <c r="K341" s="1"/>
      <c r="L341" s="1"/>
      <c r="M341" s="1"/>
      <c r="N341" s="22"/>
    </row>
    <row r="342" spans="1:14" s="7" customFormat="1" ht="3" customHeight="1">
      <c r="G342" s="8"/>
    </row>
    <row r="343" spans="1:14" s="7" customFormat="1" ht="5.25" customHeight="1">
      <c r="A343" s="18"/>
      <c r="B343" s="32"/>
      <c r="C343" s="1"/>
      <c r="D343" s="1"/>
      <c r="E343" s="1"/>
      <c r="F343" s="1"/>
      <c r="G343" s="46"/>
      <c r="H343" s="1"/>
      <c r="I343" s="1"/>
      <c r="J343" s="1"/>
      <c r="K343" s="1"/>
      <c r="L343" s="1"/>
      <c r="M343" s="1"/>
      <c r="N343" s="55"/>
    </row>
    <row r="344" spans="1:14" s="7" customFormat="1" ht="22.5" customHeight="1">
      <c r="A344" s="18" t="s">
        <v>37</v>
      </c>
      <c r="B344" s="34" t="s">
        <v>60</v>
      </c>
      <c r="C344" s="17">
        <f>C347+C348+C349</f>
        <v>76</v>
      </c>
      <c r="D344" s="17">
        <f t="shared" ref="D344:M344" si="36">D347+D348+D349</f>
        <v>76</v>
      </c>
      <c r="E344" s="17">
        <f t="shared" si="36"/>
        <v>0</v>
      </c>
      <c r="F344" s="17">
        <f t="shared" si="36"/>
        <v>76</v>
      </c>
      <c r="G344" s="17">
        <f t="shared" si="36"/>
        <v>76</v>
      </c>
      <c r="H344" s="17">
        <f t="shared" si="36"/>
        <v>0</v>
      </c>
      <c r="I344" s="17">
        <f t="shared" si="36"/>
        <v>0</v>
      </c>
      <c r="J344" s="17">
        <f t="shared" si="36"/>
        <v>0</v>
      </c>
      <c r="K344" s="17">
        <f t="shared" si="36"/>
        <v>0</v>
      </c>
      <c r="L344" s="17">
        <f t="shared" si="36"/>
        <v>76</v>
      </c>
      <c r="M344" s="17">
        <f t="shared" si="36"/>
        <v>0</v>
      </c>
      <c r="N344" s="55"/>
    </row>
    <row r="345" spans="1:14" s="7" customFormat="1" ht="22.5" customHeight="1">
      <c r="A345" s="18"/>
      <c r="B345" s="35" t="s">
        <v>61</v>
      </c>
      <c r="C345" s="1"/>
      <c r="D345" s="1"/>
      <c r="E345" s="1"/>
      <c r="F345" s="1"/>
      <c r="G345" s="46"/>
      <c r="H345" s="1"/>
      <c r="I345" s="1"/>
      <c r="J345" s="1"/>
      <c r="K345" s="1"/>
      <c r="L345" s="1"/>
      <c r="M345" s="1"/>
      <c r="N345" s="55"/>
    </row>
    <row r="346" spans="1:14" s="7" customFormat="1" ht="32.25" customHeight="1">
      <c r="A346" s="12"/>
      <c r="B346" s="16" t="s">
        <v>42</v>
      </c>
      <c r="C346" s="1"/>
      <c r="D346" s="1"/>
      <c r="E346" s="1"/>
      <c r="F346" s="1"/>
      <c r="G346" s="1"/>
      <c r="H346" s="1"/>
      <c r="I346" s="1"/>
      <c r="J346" s="1"/>
      <c r="K346" s="1"/>
      <c r="L346" s="1"/>
      <c r="M346" s="1"/>
      <c r="N346" s="55"/>
    </row>
    <row r="347" spans="1:14" s="7" customFormat="1" ht="20.25" customHeight="1">
      <c r="A347" s="43"/>
      <c r="B347" s="23" t="s">
        <v>62</v>
      </c>
      <c r="C347" s="1">
        <v>0</v>
      </c>
      <c r="D347" s="1">
        <v>0</v>
      </c>
      <c r="E347" s="1">
        <v>0</v>
      </c>
      <c r="F347" s="1">
        <v>0</v>
      </c>
      <c r="G347" s="46">
        <v>0</v>
      </c>
      <c r="H347" s="1">
        <v>0</v>
      </c>
      <c r="I347" s="1">
        <v>0</v>
      </c>
      <c r="J347" s="1">
        <v>0</v>
      </c>
      <c r="K347" s="1">
        <v>0</v>
      </c>
      <c r="L347" s="1">
        <v>0</v>
      </c>
      <c r="M347" s="1">
        <v>0</v>
      </c>
      <c r="N347" s="55"/>
    </row>
    <row r="348" spans="1:14" s="7" customFormat="1" ht="20.25" customHeight="1">
      <c r="A348" s="44"/>
      <c r="B348" s="137" t="s">
        <v>63</v>
      </c>
      <c r="C348" s="45">
        <f>'A3 - DOTARI 2024'!D106</f>
        <v>76</v>
      </c>
      <c r="D348" s="45">
        <f>'A3 - DOTARI 2024'!E106</f>
        <v>76</v>
      </c>
      <c r="E348" s="45">
        <f>'A3 - DOTARI 2024'!F106</f>
        <v>0</v>
      </c>
      <c r="F348" s="45">
        <f>'A3 - DOTARI 2024'!G106</f>
        <v>76</v>
      </c>
      <c r="G348" s="237">
        <f>'A3 - DOTARI 2024'!H106</f>
        <v>76</v>
      </c>
      <c r="H348" s="45">
        <f>'A3 - DOTARI 2024'!I106</f>
        <v>0</v>
      </c>
      <c r="I348" s="45">
        <f>'A3 - DOTARI 2024'!J106</f>
        <v>0</v>
      </c>
      <c r="J348" s="45">
        <f>'A3 - DOTARI 2024'!K106</f>
        <v>0</v>
      </c>
      <c r="K348" s="45">
        <f>'A3 - DOTARI 2024'!L106</f>
        <v>0</v>
      </c>
      <c r="L348" s="45">
        <f>'A3 - DOTARI 2024'!M106</f>
        <v>76</v>
      </c>
      <c r="M348" s="45">
        <f>'A3 - DOTARI 2024'!N106</f>
        <v>0</v>
      </c>
      <c r="N348" s="55"/>
    </row>
    <row r="349" spans="1:14" s="7" customFormat="1" ht="20.25" customHeight="1">
      <c r="A349" s="44"/>
      <c r="B349" s="137" t="s">
        <v>130</v>
      </c>
      <c r="C349" s="45">
        <v>0</v>
      </c>
      <c r="D349" s="45">
        <v>0</v>
      </c>
      <c r="E349" s="45">
        <v>0</v>
      </c>
      <c r="F349" s="45">
        <v>0</v>
      </c>
      <c r="G349" s="45">
        <v>0</v>
      </c>
      <c r="H349" s="45">
        <v>0</v>
      </c>
      <c r="I349" s="45">
        <v>0</v>
      </c>
      <c r="J349" s="45">
        <v>0</v>
      </c>
      <c r="K349" s="45">
        <v>0</v>
      </c>
      <c r="L349" s="45">
        <v>0</v>
      </c>
      <c r="M349" s="45">
        <v>0</v>
      </c>
      <c r="N349" s="55"/>
    </row>
    <row r="350" spans="1:14" s="7" customFormat="1" ht="24" customHeight="1">
      <c r="A350" s="44"/>
      <c r="B350" s="137"/>
      <c r="C350" s="45"/>
      <c r="D350" s="45"/>
      <c r="E350" s="45"/>
      <c r="F350" s="45"/>
      <c r="G350" s="237"/>
      <c r="H350" s="45"/>
      <c r="I350" s="45"/>
      <c r="J350" s="45"/>
      <c r="K350" s="45"/>
      <c r="L350" s="45"/>
      <c r="M350" s="45"/>
      <c r="N350" s="55"/>
    </row>
    <row r="351" spans="1:14" s="7" customFormat="1" ht="40.5" customHeight="1">
      <c r="A351" s="12"/>
      <c r="B351" s="253" t="s">
        <v>158</v>
      </c>
      <c r="C351" s="46"/>
      <c r="D351" s="1"/>
      <c r="E351" s="1"/>
      <c r="F351" s="1"/>
      <c r="G351" s="46"/>
      <c r="H351" s="46"/>
      <c r="I351" s="46"/>
      <c r="J351" s="46"/>
      <c r="K351" s="46"/>
      <c r="L351" s="46"/>
      <c r="M351" s="46" t="s">
        <v>41</v>
      </c>
      <c r="N351" s="55"/>
    </row>
    <row r="352" spans="1:14" s="7" customFormat="1" ht="27.75" customHeight="1">
      <c r="A352" s="15"/>
      <c r="B352" s="16" t="s">
        <v>42</v>
      </c>
      <c r="C352" s="17">
        <f>C355+C371+C403</f>
        <v>437639</v>
      </c>
      <c r="D352" s="17">
        <f t="shared" ref="D352:M352" si="37">D355+D371+D403</f>
        <v>443910</v>
      </c>
      <c r="E352" s="17">
        <f t="shared" si="37"/>
        <v>114754</v>
      </c>
      <c r="F352" s="17">
        <f t="shared" si="37"/>
        <v>329156</v>
      </c>
      <c r="G352" s="17">
        <f t="shared" si="37"/>
        <v>59003</v>
      </c>
      <c r="H352" s="17">
        <f t="shared" si="37"/>
        <v>0</v>
      </c>
      <c r="I352" s="17">
        <f t="shared" si="37"/>
        <v>0</v>
      </c>
      <c r="J352" s="17">
        <f t="shared" si="37"/>
        <v>0</v>
      </c>
      <c r="K352" s="17">
        <f t="shared" si="37"/>
        <v>0</v>
      </c>
      <c r="L352" s="17">
        <f t="shared" si="37"/>
        <v>56403</v>
      </c>
      <c r="M352" s="17">
        <f t="shared" si="37"/>
        <v>2600</v>
      </c>
      <c r="N352" s="55"/>
    </row>
    <row r="353" spans="1:14" s="7" customFormat="1" ht="27.75" customHeight="1">
      <c r="A353" s="18"/>
      <c r="B353" s="16"/>
      <c r="C353" s="17">
        <f>C356+C372+C404</f>
        <v>161386</v>
      </c>
      <c r="D353" s="17">
        <f t="shared" ref="D353:M353" si="38">D356+D372+D404</f>
        <v>164948</v>
      </c>
      <c r="E353" s="17">
        <f t="shared" si="38"/>
        <v>11094</v>
      </c>
      <c r="F353" s="17">
        <f t="shared" si="38"/>
        <v>153854</v>
      </c>
      <c r="G353" s="17">
        <f t="shared" si="38"/>
        <v>22556.989163274266</v>
      </c>
      <c r="H353" s="17">
        <f t="shared" si="38"/>
        <v>0</v>
      </c>
      <c r="I353" s="17">
        <f t="shared" si="38"/>
        <v>0</v>
      </c>
      <c r="J353" s="17">
        <f t="shared" si="38"/>
        <v>0</v>
      </c>
      <c r="K353" s="17">
        <f t="shared" si="38"/>
        <v>0</v>
      </c>
      <c r="L353" s="17">
        <f t="shared" si="38"/>
        <v>19956.989163274266</v>
      </c>
      <c r="M353" s="17">
        <f t="shared" si="38"/>
        <v>2600</v>
      </c>
      <c r="N353" s="55"/>
    </row>
    <row r="354" spans="1:14" s="7" customFormat="1" ht="24.75" customHeight="1">
      <c r="A354" s="18"/>
      <c r="B354" s="16"/>
      <c r="C354" s="1"/>
      <c r="D354" s="1"/>
      <c r="E354" s="1"/>
      <c r="F354" s="1"/>
      <c r="G354" s="46"/>
      <c r="H354" s="46"/>
      <c r="I354" s="46"/>
      <c r="J354" s="46"/>
      <c r="K354" s="46"/>
      <c r="L354" s="46"/>
      <c r="M354" s="46"/>
      <c r="N354" s="55"/>
    </row>
    <row r="355" spans="1:14" s="7" customFormat="1" ht="29.25" customHeight="1">
      <c r="A355" s="18" t="s">
        <v>32</v>
      </c>
      <c r="B355" s="34" t="s">
        <v>43</v>
      </c>
      <c r="C355" s="17">
        <f>C359+C363+C367</f>
        <v>21792</v>
      </c>
      <c r="D355" s="17">
        <f t="shared" ref="D355:M355" si="39">D359+D363+D367</f>
        <v>28063</v>
      </c>
      <c r="E355" s="17">
        <f t="shared" si="39"/>
        <v>12205</v>
      </c>
      <c r="F355" s="17">
        <f t="shared" si="39"/>
        <v>15858</v>
      </c>
      <c r="G355" s="17">
        <f t="shared" si="39"/>
        <v>6312</v>
      </c>
      <c r="H355" s="17">
        <f t="shared" si="39"/>
        <v>0</v>
      </c>
      <c r="I355" s="17">
        <f t="shared" si="39"/>
        <v>0</v>
      </c>
      <c r="J355" s="17">
        <f t="shared" si="39"/>
        <v>0</v>
      </c>
      <c r="K355" s="17">
        <f t="shared" si="39"/>
        <v>0</v>
      </c>
      <c r="L355" s="17">
        <f t="shared" si="39"/>
        <v>6312</v>
      </c>
      <c r="M355" s="17">
        <f t="shared" si="39"/>
        <v>0</v>
      </c>
      <c r="N355" s="55"/>
    </row>
    <row r="356" spans="1:14" s="7" customFormat="1" ht="29.25" customHeight="1">
      <c r="A356" s="18"/>
      <c r="B356" s="35" t="s">
        <v>34</v>
      </c>
      <c r="C356" s="17">
        <f>C360+C364+C368</f>
        <v>19120</v>
      </c>
      <c r="D356" s="17">
        <f t="shared" ref="D356:M356" si="40">D360+D364+D368</f>
        <v>22682</v>
      </c>
      <c r="E356" s="17">
        <f t="shared" si="40"/>
        <v>11094</v>
      </c>
      <c r="F356" s="17">
        <f t="shared" si="40"/>
        <v>11588</v>
      </c>
      <c r="G356" s="17">
        <f t="shared" si="40"/>
        <v>5112.4009716663941</v>
      </c>
      <c r="H356" s="17">
        <f t="shared" si="40"/>
        <v>0</v>
      </c>
      <c r="I356" s="17">
        <f t="shared" si="40"/>
        <v>0</v>
      </c>
      <c r="J356" s="17">
        <f t="shared" si="40"/>
        <v>0</v>
      </c>
      <c r="K356" s="17">
        <f t="shared" si="40"/>
        <v>0</v>
      </c>
      <c r="L356" s="17">
        <f t="shared" si="40"/>
        <v>5112.4009716663941</v>
      </c>
      <c r="M356" s="17">
        <f t="shared" si="40"/>
        <v>0</v>
      </c>
      <c r="N356" s="55"/>
    </row>
    <row r="357" spans="1:14" s="7" customFormat="1" ht="26.25" customHeight="1">
      <c r="A357" s="12"/>
      <c r="B357" s="32" t="s">
        <v>159</v>
      </c>
      <c r="C357" s="1"/>
      <c r="D357" s="46"/>
      <c r="E357" s="1"/>
      <c r="F357" s="1"/>
      <c r="G357" s="46"/>
      <c r="H357" s="1"/>
      <c r="I357" s="1"/>
      <c r="J357" s="1"/>
      <c r="K357" s="1"/>
      <c r="L357" s="1"/>
      <c r="M357" s="1"/>
      <c r="N357" s="55"/>
    </row>
    <row r="358" spans="1:14" s="7" customFormat="1" ht="18" customHeight="1">
      <c r="A358" s="53"/>
      <c r="B358" s="59"/>
      <c r="C358" s="1"/>
      <c r="D358" s="1"/>
      <c r="E358" s="1"/>
      <c r="F358" s="1"/>
      <c r="G358" s="202"/>
      <c r="H358" s="1"/>
      <c r="I358" s="1"/>
      <c r="J358" s="1"/>
      <c r="K358" s="1"/>
      <c r="L358" s="1"/>
      <c r="M358" s="14"/>
      <c r="N358" s="55"/>
    </row>
    <row r="359" spans="1:14" s="10" customFormat="1" ht="51.75" customHeight="1">
      <c r="A359" s="53">
        <v>1</v>
      </c>
      <c r="B359" s="192" t="s">
        <v>160</v>
      </c>
      <c r="C359" s="2">
        <v>17907</v>
      </c>
      <c r="D359" s="2">
        <v>24194</v>
      </c>
      <c r="E359" s="2">
        <f>235+237+4220+3447+519+2408</f>
        <v>11066</v>
      </c>
      <c r="F359" s="2">
        <f>D359-E359</f>
        <v>13128</v>
      </c>
      <c r="G359" s="58">
        <f>SUM(H359:M359)</f>
        <v>4700</v>
      </c>
      <c r="H359" s="2"/>
      <c r="I359" s="2"/>
      <c r="J359" s="2"/>
      <c r="K359" s="2"/>
      <c r="L359" s="2">
        <v>4700</v>
      </c>
      <c r="M359" s="42"/>
      <c r="N359" s="22" t="s">
        <v>153</v>
      </c>
    </row>
    <row r="360" spans="1:14" s="11" customFormat="1" ht="34.5" customHeight="1">
      <c r="A360" s="53"/>
      <c r="B360" s="162" t="s">
        <v>161</v>
      </c>
      <c r="C360" s="2">
        <v>15978</v>
      </c>
      <c r="D360" s="2">
        <v>19539</v>
      </c>
      <c r="E360" s="2">
        <f>220+4220+3389+200+2365</f>
        <v>10394</v>
      </c>
      <c r="F360" s="2">
        <f>D360-E360</f>
        <v>9145</v>
      </c>
      <c r="G360" s="58">
        <f>SUM(H360:M360)</f>
        <v>3795.7055468297926</v>
      </c>
      <c r="H360" s="2"/>
      <c r="I360" s="2"/>
      <c r="J360" s="2"/>
      <c r="K360" s="2"/>
      <c r="L360" s="340">
        <f>(D360/D359)*L359</f>
        <v>3795.7055468297926</v>
      </c>
      <c r="M360" s="42"/>
      <c r="N360" s="24"/>
    </row>
    <row r="361" spans="1:14" s="11" customFormat="1" ht="12" customHeight="1">
      <c r="A361" s="53"/>
      <c r="B361" s="162"/>
      <c r="C361" s="1"/>
      <c r="D361" s="1"/>
      <c r="E361" s="1"/>
      <c r="F361" s="1"/>
      <c r="G361" s="202"/>
      <c r="H361" s="1"/>
      <c r="I361" s="1"/>
      <c r="J361" s="1"/>
      <c r="K361" s="1"/>
      <c r="L361" s="41"/>
      <c r="M361" s="14"/>
      <c r="N361" s="24"/>
    </row>
    <row r="362" spans="1:14" s="11" customFormat="1" ht="12" customHeight="1">
      <c r="A362" s="53"/>
      <c r="B362" s="162"/>
      <c r="C362" s="1"/>
      <c r="D362" s="1"/>
      <c r="E362" s="1"/>
      <c r="F362" s="1"/>
      <c r="G362" s="202"/>
      <c r="H362" s="1"/>
      <c r="I362" s="1"/>
      <c r="J362" s="1"/>
      <c r="K362" s="1"/>
      <c r="L362" s="41"/>
      <c r="M362" s="14"/>
      <c r="N362" s="24"/>
    </row>
    <row r="363" spans="1:14" s="11" customFormat="1" ht="57">
      <c r="A363" s="50">
        <v>2</v>
      </c>
      <c r="B363" s="192" t="s">
        <v>162</v>
      </c>
      <c r="C363" s="51">
        <v>2295</v>
      </c>
      <c r="D363" s="51">
        <v>2269</v>
      </c>
      <c r="E363" s="51">
        <v>344</v>
      </c>
      <c r="F363" s="2">
        <f>D363-E363</f>
        <v>1925</v>
      </c>
      <c r="G363" s="58">
        <f>SUM(H363:M363)</f>
        <v>812</v>
      </c>
      <c r="H363" s="51"/>
      <c r="I363" s="51"/>
      <c r="J363" s="51"/>
      <c r="K363" s="51"/>
      <c r="L363" s="51">
        <v>812</v>
      </c>
      <c r="M363" s="51"/>
      <c r="N363" s="22" t="s">
        <v>153</v>
      </c>
    </row>
    <row r="364" spans="1:14" s="11" customFormat="1" ht="34.5" customHeight="1">
      <c r="A364" s="50"/>
      <c r="B364" s="32" t="s">
        <v>163</v>
      </c>
      <c r="C364" s="51">
        <v>1743</v>
      </c>
      <c r="D364" s="51">
        <f>C364</f>
        <v>1743</v>
      </c>
      <c r="E364" s="51">
        <v>0</v>
      </c>
      <c r="F364" s="2">
        <f>D364-E364</f>
        <v>1743</v>
      </c>
      <c r="G364" s="58">
        <f>SUM(H364:M364)</f>
        <v>616.69542483660132</v>
      </c>
      <c r="H364" s="51"/>
      <c r="I364" s="51"/>
      <c r="J364" s="51"/>
      <c r="K364" s="51"/>
      <c r="L364" s="51">
        <f>(C364/C363)*L363</f>
        <v>616.69542483660132</v>
      </c>
      <c r="M364" s="51"/>
      <c r="N364" s="22"/>
    </row>
    <row r="365" spans="1:14" s="11" customFormat="1" ht="15" customHeight="1">
      <c r="A365" s="50"/>
      <c r="B365" s="32"/>
      <c r="C365" s="52"/>
      <c r="D365" s="52"/>
      <c r="E365" s="52"/>
      <c r="F365" s="1"/>
      <c r="G365" s="202"/>
      <c r="H365" s="52"/>
      <c r="I365" s="52"/>
      <c r="J365" s="52"/>
      <c r="K365" s="52"/>
      <c r="L365" s="52"/>
      <c r="M365" s="52"/>
      <c r="N365" s="22"/>
    </row>
    <row r="366" spans="1:14" s="11" customFormat="1" ht="15" customHeight="1">
      <c r="A366" s="50"/>
      <c r="B366" s="32"/>
      <c r="C366" s="52"/>
      <c r="D366" s="52"/>
      <c r="E366" s="52"/>
      <c r="F366" s="1"/>
      <c r="G366" s="202"/>
      <c r="H366" s="52"/>
      <c r="I366" s="52"/>
      <c r="J366" s="52"/>
      <c r="K366" s="52"/>
      <c r="L366" s="52"/>
      <c r="M366" s="52"/>
      <c r="N366" s="22"/>
    </row>
    <row r="367" spans="1:14" s="11" customFormat="1" ht="42.75">
      <c r="A367" s="50">
        <v>3</v>
      </c>
      <c r="B367" s="192" t="s">
        <v>164</v>
      </c>
      <c r="C367" s="51">
        <v>1590</v>
      </c>
      <c r="D367" s="51">
        <f>800+800</f>
        <v>1600</v>
      </c>
      <c r="E367" s="51">
        <v>795</v>
      </c>
      <c r="F367" s="2">
        <f>D367-E367</f>
        <v>805</v>
      </c>
      <c r="G367" s="58">
        <f>SUM(H367:M367)</f>
        <v>800</v>
      </c>
      <c r="H367" s="51"/>
      <c r="I367" s="51"/>
      <c r="J367" s="51"/>
      <c r="K367" s="51"/>
      <c r="L367" s="51">
        <v>800</v>
      </c>
      <c r="M367" s="51"/>
      <c r="N367" s="22" t="s">
        <v>153</v>
      </c>
    </row>
    <row r="368" spans="1:14" s="11" customFormat="1" ht="34.5" customHeight="1">
      <c r="A368" s="50"/>
      <c r="B368" s="139" t="s">
        <v>165</v>
      </c>
      <c r="C368" s="51">
        <v>1399</v>
      </c>
      <c r="D368" s="51">
        <f>700+700</f>
        <v>1400</v>
      </c>
      <c r="E368" s="51">
        <v>700</v>
      </c>
      <c r="F368" s="2">
        <f>D368-E368</f>
        <v>700</v>
      </c>
      <c r="G368" s="58">
        <f>SUM(H368:M368)</f>
        <v>700</v>
      </c>
      <c r="H368" s="51"/>
      <c r="I368" s="51"/>
      <c r="J368" s="51"/>
      <c r="K368" s="51"/>
      <c r="L368" s="51">
        <v>700</v>
      </c>
      <c r="M368" s="51"/>
      <c r="N368" s="22"/>
    </row>
    <row r="369" spans="1:14" s="11" customFormat="1" ht="16.5" customHeight="1">
      <c r="A369" s="53"/>
      <c r="B369" s="162"/>
      <c r="C369" s="1"/>
      <c r="D369" s="1"/>
      <c r="E369" s="1"/>
      <c r="F369" s="1"/>
      <c r="G369" s="202"/>
      <c r="H369" s="1"/>
      <c r="I369" s="1"/>
      <c r="J369" s="1"/>
      <c r="K369" s="1"/>
      <c r="L369" s="41"/>
      <c r="M369" s="14"/>
      <c r="N369" s="24"/>
    </row>
    <row r="370" spans="1:14" s="11" customFormat="1" ht="16.5" customHeight="1">
      <c r="A370" s="53"/>
      <c r="B370" s="162"/>
      <c r="C370" s="1"/>
      <c r="D370" s="1"/>
      <c r="E370" s="1"/>
      <c r="F370" s="1"/>
      <c r="G370" s="202"/>
      <c r="H370" s="1"/>
      <c r="I370" s="1"/>
      <c r="J370" s="1"/>
      <c r="K370" s="1"/>
      <c r="L370" s="41"/>
      <c r="M370" s="14"/>
      <c r="N370" s="24"/>
    </row>
    <row r="371" spans="1:14" s="41" customFormat="1" ht="22.5" customHeight="1">
      <c r="A371" s="18" t="s">
        <v>35</v>
      </c>
      <c r="B371" s="34" t="s">
        <v>43</v>
      </c>
      <c r="C371" s="17">
        <f>C375+C379+C383+C387+C391+C395+C399</f>
        <v>398915</v>
      </c>
      <c r="D371" s="17">
        <f t="shared" ref="D371:M371" si="41">D375+D379+D383+D387+D391+D395+D399</f>
        <v>398915</v>
      </c>
      <c r="E371" s="17">
        <f t="shared" si="41"/>
        <v>100915</v>
      </c>
      <c r="F371" s="17">
        <f t="shared" si="41"/>
        <v>298000</v>
      </c>
      <c r="G371" s="17">
        <f t="shared" si="41"/>
        <v>37393</v>
      </c>
      <c r="H371" s="17">
        <f t="shared" si="41"/>
        <v>0</v>
      </c>
      <c r="I371" s="17">
        <f t="shared" si="41"/>
        <v>0</v>
      </c>
      <c r="J371" s="17">
        <f t="shared" si="41"/>
        <v>0</v>
      </c>
      <c r="K371" s="17">
        <f t="shared" si="41"/>
        <v>0</v>
      </c>
      <c r="L371" s="17">
        <f t="shared" si="41"/>
        <v>34793</v>
      </c>
      <c r="M371" s="17">
        <f t="shared" si="41"/>
        <v>2600</v>
      </c>
      <c r="N371" s="24"/>
    </row>
    <row r="372" spans="1:14" s="41" customFormat="1" ht="22.5" customHeight="1">
      <c r="A372" s="18"/>
      <c r="B372" s="35" t="s">
        <v>36</v>
      </c>
      <c r="C372" s="17">
        <f>C376+C380+C384+C388+C392+C396+C400</f>
        <v>142266</v>
      </c>
      <c r="D372" s="17">
        <f t="shared" ref="D372:M372" si="42">D376+D380+D384+D388+D392+D396+D400</f>
        <v>142266</v>
      </c>
      <c r="E372" s="17">
        <f t="shared" si="42"/>
        <v>0</v>
      </c>
      <c r="F372" s="17">
        <f t="shared" si="42"/>
        <v>142266</v>
      </c>
      <c r="G372" s="17">
        <f t="shared" si="42"/>
        <v>17444.588191607872</v>
      </c>
      <c r="H372" s="17">
        <f t="shared" si="42"/>
        <v>0</v>
      </c>
      <c r="I372" s="17">
        <f t="shared" si="42"/>
        <v>0</v>
      </c>
      <c r="J372" s="17">
        <f t="shared" si="42"/>
        <v>0</v>
      </c>
      <c r="K372" s="17">
        <f t="shared" si="42"/>
        <v>0</v>
      </c>
      <c r="L372" s="17">
        <f t="shared" si="42"/>
        <v>14844.588191607872</v>
      </c>
      <c r="M372" s="17">
        <f t="shared" si="42"/>
        <v>2600</v>
      </c>
      <c r="N372" s="22"/>
    </row>
    <row r="373" spans="1:14" s="41" customFormat="1" ht="19.5" customHeight="1">
      <c r="A373" s="12"/>
      <c r="B373" s="16" t="s">
        <v>42</v>
      </c>
      <c r="C373" s="1"/>
      <c r="D373" s="1"/>
      <c r="E373" s="1"/>
      <c r="F373" s="1"/>
      <c r="G373" s="46"/>
      <c r="H373" s="1"/>
      <c r="I373" s="1"/>
      <c r="J373" s="1"/>
      <c r="K373" s="1"/>
      <c r="L373" s="1"/>
      <c r="M373" s="1"/>
      <c r="N373" s="22"/>
    </row>
    <row r="374" spans="1:14" s="41" customFormat="1" ht="14.25" customHeight="1">
      <c r="A374" s="12"/>
      <c r="B374" s="16"/>
      <c r="C374" s="1"/>
      <c r="D374" s="1"/>
      <c r="E374" s="1"/>
      <c r="F374" s="1"/>
      <c r="G374" s="46"/>
      <c r="H374" s="1"/>
      <c r="I374" s="1"/>
      <c r="J374" s="1"/>
      <c r="K374" s="1"/>
      <c r="L374" s="1"/>
      <c r="M374" s="1"/>
      <c r="N374" s="22"/>
    </row>
    <row r="375" spans="1:14" s="41" customFormat="1" ht="34.5" customHeight="1">
      <c r="A375" s="18">
        <v>1</v>
      </c>
      <c r="B375" s="234" t="s">
        <v>166</v>
      </c>
      <c r="C375" s="51">
        <f>4083+100647</f>
        <v>104730</v>
      </c>
      <c r="D375" s="341">
        <f>4083+100647</f>
        <v>104730</v>
      </c>
      <c r="E375" s="51">
        <f>4973+21006+30+35763+19098+4083+4083+8166-638+4083</f>
        <v>100647</v>
      </c>
      <c r="F375" s="2">
        <f>D375-E375</f>
        <v>4083</v>
      </c>
      <c r="G375" s="58">
        <f>SUM(H375:M375)</f>
        <v>4083</v>
      </c>
      <c r="H375" s="2"/>
      <c r="I375" s="2"/>
      <c r="J375" s="2"/>
      <c r="K375" s="2"/>
      <c r="L375" s="2">
        <v>4083</v>
      </c>
      <c r="M375" s="2"/>
      <c r="N375" s="22" t="s">
        <v>153</v>
      </c>
    </row>
    <row r="376" spans="1:14" s="41" customFormat="1" ht="44.25" customHeight="1">
      <c r="A376" s="18"/>
      <c r="B376" s="193" t="s">
        <v>167</v>
      </c>
      <c r="C376" s="51">
        <v>0</v>
      </c>
      <c r="D376" s="51">
        <v>0</v>
      </c>
      <c r="E376" s="51">
        <v>0</v>
      </c>
      <c r="F376" s="2">
        <f>D376-E376</f>
        <v>0</v>
      </c>
      <c r="G376" s="17">
        <f>SUM(H376:M376)</f>
        <v>0</v>
      </c>
      <c r="H376" s="51"/>
      <c r="I376" s="51"/>
      <c r="J376" s="51"/>
      <c r="K376" s="51"/>
      <c r="L376" s="51">
        <v>0</v>
      </c>
      <c r="M376" s="51"/>
      <c r="N376" s="22"/>
    </row>
    <row r="377" spans="1:14" s="41" customFormat="1" ht="19.5" customHeight="1">
      <c r="A377" s="18"/>
      <c r="B377" s="193"/>
      <c r="C377" s="52"/>
      <c r="D377" s="52"/>
      <c r="E377" s="52"/>
      <c r="F377" s="1"/>
      <c r="G377" s="46"/>
      <c r="H377" s="52"/>
      <c r="I377" s="52"/>
      <c r="J377" s="52"/>
      <c r="K377" s="52"/>
      <c r="L377" s="52"/>
      <c r="M377" s="52"/>
      <c r="N377" s="22"/>
    </row>
    <row r="378" spans="1:14" s="41" customFormat="1" ht="19.5" customHeight="1">
      <c r="A378" s="53"/>
      <c r="B378" s="162"/>
      <c r="C378" s="1"/>
      <c r="D378" s="1"/>
      <c r="E378" s="1"/>
      <c r="F378" s="1"/>
      <c r="G378" s="202"/>
      <c r="H378" s="1"/>
      <c r="I378" s="1"/>
      <c r="J378" s="1"/>
      <c r="K378" s="1"/>
      <c r="L378" s="1"/>
      <c r="M378" s="14"/>
      <c r="N378" s="24"/>
    </row>
    <row r="379" spans="1:14" s="41" customFormat="1" ht="87.75" customHeight="1">
      <c r="A379" s="53">
        <v>2</v>
      </c>
      <c r="B379" s="192" t="s">
        <v>168</v>
      </c>
      <c r="C379" s="2">
        <v>82563</v>
      </c>
      <c r="D379" s="2">
        <f>C379</f>
        <v>82563</v>
      </c>
      <c r="E379" s="2">
        <v>0</v>
      </c>
      <c r="F379" s="2">
        <f>D379-E379</f>
        <v>82563</v>
      </c>
      <c r="G379" s="58">
        <f>SUM(H379:M379)</f>
        <v>20000</v>
      </c>
      <c r="H379" s="2"/>
      <c r="I379" s="2"/>
      <c r="J379" s="2"/>
      <c r="K379" s="2"/>
      <c r="L379" s="2">
        <v>20000</v>
      </c>
      <c r="M379" s="42"/>
      <c r="N379" s="22" t="s">
        <v>153</v>
      </c>
    </row>
    <row r="380" spans="1:14" s="41" customFormat="1" ht="22.5" customHeight="1">
      <c r="A380" s="53"/>
      <c r="B380" s="162" t="s">
        <v>169</v>
      </c>
      <c r="C380" s="2">
        <v>21719</v>
      </c>
      <c r="D380" s="2">
        <f>C380</f>
        <v>21719</v>
      </c>
      <c r="E380" s="2">
        <v>0</v>
      </c>
      <c r="F380" s="2">
        <f>D380-E380</f>
        <v>21719</v>
      </c>
      <c r="G380" s="58">
        <f>SUM(H380:M380)</f>
        <v>5271</v>
      </c>
      <c r="H380" s="2"/>
      <c r="I380" s="2"/>
      <c r="J380" s="2"/>
      <c r="K380" s="2"/>
      <c r="L380" s="2">
        <v>5271</v>
      </c>
      <c r="M380" s="42"/>
      <c r="N380" s="24"/>
    </row>
    <row r="381" spans="1:14" s="41" customFormat="1" ht="15" customHeight="1">
      <c r="A381" s="53"/>
      <c r="B381" s="162"/>
      <c r="C381" s="1"/>
      <c r="D381" s="1"/>
      <c r="E381" s="1"/>
      <c r="F381" s="1"/>
      <c r="G381" s="202"/>
      <c r="H381" s="1"/>
      <c r="I381" s="1"/>
      <c r="J381" s="1"/>
      <c r="K381" s="1"/>
      <c r="L381" s="1"/>
      <c r="M381" s="14"/>
      <c r="N381" s="24"/>
    </row>
    <row r="382" spans="1:14" s="41" customFormat="1" ht="15" customHeight="1">
      <c r="A382" s="53"/>
      <c r="B382" s="162"/>
      <c r="C382" s="1"/>
      <c r="D382" s="1"/>
      <c r="E382" s="1"/>
      <c r="F382" s="1"/>
      <c r="G382" s="202"/>
      <c r="H382" s="1"/>
      <c r="I382" s="1"/>
      <c r="J382" s="1"/>
      <c r="K382" s="1"/>
      <c r="L382" s="1"/>
      <c r="M382" s="14"/>
      <c r="N382" s="24"/>
    </row>
    <row r="383" spans="1:14" s="41" customFormat="1" ht="85.5">
      <c r="A383" s="53">
        <v>3</v>
      </c>
      <c r="B383" s="192" t="s">
        <v>170</v>
      </c>
      <c r="C383" s="2">
        <v>12185</v>
      </c>
      <c r="D383" s="2">
        <f>C383</f>
        <v>12185</v>
      </c>
      <c r="E383" s="2">
        <v>0</v>
      </c>
      <c r="F383" s="2">
        <f>D383-E383</f>
        <v>12185</v>
      </c>
      <c r="G383" s="58">
        <f>SUM(H383:M383)</f>
        <v>10300</v>
      </c>
      <c r="H383" s="2"/>
      <c r="I383" s="2"/>
      <c r="J383" s="2"/>
      <c r="K383" s="2"/>
      <c r="L383" s="2">
        <v>7700</v>
      </c>
      <c r="M383" s="42">
        <v>2600</v>
      </c>
      <c r="N383" s="22" t="s">
        <v>153</v>
      </c>
    </row>
    <row r="384" spans="1:14" s="41" customFormat="1" ht="29.25" customHeight="1">
      <c r="A384" s="53"/>
      <c r="B384" s="162" t="s">
        <v>171</v>
      </c>
      <c r="C384" s="2">
        <v>11720</v>
      </c>
      <c r="D384" s="2">
        <f>C384</f>
        <v>11720</v>
      </c>
      <c r="E384" s="2">
        <v>0</v>
      </c>
      <c r="F384" s="2">
        <f>D384-E384</f>
        <v>11720</v>
      </c>
      <c r="G384" s="58">
        <f>SUM(H384:M384)</f>
        <v>10093</v>
      </c>
      <c r="H384" s="2"/>
      <c r="I384" s="2"/>
      <c r="J384" s="2"/>
      <c r="K384" s="2"/>
      <c r="L384" s="2">
        <v>7493</v>
      </c>
      <c r="M384" s="42">
        <v>2600</v>
      </c>
      <c r="N384" s="24"/>
    </row>
    <row r="385" spans="1:14" s="41" customFormat="1" ht="14.25" customHeight="1">
      <c r="A385" s="53"/>
      <c r="B385" s="162"/>
      <c r="C385" s="1"/>
      <c r="D385" s="1"/>
      <c r="E385" s="1"/>
      <c r="F385" s="1"/>
      <c r="G385" s="202"/>
      <c r="H385" s="1"/>
      <c r="I385" s="1"/>
      <c r="J385" s="1"/>
      <c r="K385" s="1"/>
      <c r="L385" s="1"/>
      <c r="M385" s="14"/>
      <c r="N385" s="24"/>
    </row>
    <row r="386" spans="1:14" s="41" customFormat="1" ht="14.25" customHeight="1">
      <c r="A386" s="53"/>
      <c r="B386" s="162"/>
      <c r="C386" s="1"/>
      <c r="D386" s="1"/>
      <c r="E386" s="1"/>
      <c r="F386" s="1"/>
      <c r="G386" s="202"/>
      <c r="H386" s="1"/>
      <c r="I386" s="1"/>
      <c r="J386" s="1"/>
      <c r="K386" s="1"/>
      <c r="L386" s="1"/>
      <c r="M386" s="14"/>
      <c r="N386" s="24"/>
    </row>
    <row r="387" spans="1:14" s="41" customFormat="1" ht="29.25" customHeight="1">
      <c r="A387" s="53">
        <v>4</v>
      </c>
      <c r="B387" s="192" t="s">
        <v>172</v>
      </c>
      <c r="C387" s="2">
        <v>162697</v>
      </c>
      <c r="D387" s="2">
        <f>C387</f>
        <v>162697</v>
      </c>
      <c r="E387" s="2">
        <v>0</v>
      </c>
      <c r="F387" s="2">
        <f>D387-E387</f>
        <v>162697</v>
      </c>
      <c r="G387" s="58">
        <f>SUM(H387:M387)</f>
        <v>10</v>
      </c>
      <c r="H387" s="2"/>
      <c r="I387" s="2"/>
      <c r="J387" s="2"/>
      <c r="K387" s="2"/>
      <c r="L387" s="2">
        <v>10</v>
      </c>
      <c r="M387" s="42"/>
      <c r="N387" s="22" t="s">
        <v>153</v>
      </c>
    </row>
    <row r="388" spans="1:14" s="41" customFormat="1" ht="29.25" customHeight="1">
      <c r="A388" s="53"/>
      <c r="B388" s="162" t="s">
        <v>173</v>
      </c>
      <c r="C388" s="2">
        <v>84309</v>
      </c>
      <c r="D388" s="2">
        <f>C388</f>
        <v>84309</v>
      </c>
      <c r="E388" s="2">
        <v>0</v>
      </c>
      <c r="F388" s="2">
        <f>D388-E388</f>
        <v>84309</v>
      </c>
      <c r="G388" s="58">
        <f>SUM(H388:M388)</f>
        <v>0</v>
      </c>
      <c r="H388" s="2"/>
      <c r="I388" s="2"/>
      <c r="J388" s="2"/>
      <c r="K388" s="2"/>
      <c r="L388" s="2">
        <v>0</v>
      </c>
      <c r="M388" s="42"/>
      <c r="N388" s="24"/>
    </row>
    <row r="389" spans="1:14" s="41" customFormat="1" ht="17.25" customHeight="1">
      <c r="A389" s="53"/>
      <c r="B389" s="162"/>
      <c r="C389" s="1"/>
      <c r="D389" s="1"/>
      <c r="E389" s="1"/>
      <c r="F389" s="1"/>
      <c r="G389" s="202"/>
      <c r="H389" s="1"/>
      <c r="I389" s="1"/>
      <c r="J389" s="1"/>
      <c r="K389" s="1"/>
      <c r="L389" s="1"/>
      <c r="M389" s="14"/>
      <c r="N389" s="24"/>
    </row>
    <row r="390" spans="1:14" s="41" customFormat="1" ht="17.25" customHeight="1">
      <c r="A390" s="53"/>
      <c r="B390" s="162"/>
      <c r="C390" s="1"/>
      <c r="D390" s="1"/>
      <c r="E390" s="1"/>
      <c r="F390" s="1"/>
      <c r="G390" s="202"/>
      <c r="H390" s="1"/>
      <c r="I390" s="1"/>
      <c r="J390" s="1"/>
      <c r="K390" s="1"/>
      <c r="L390" s="1"/>
      <c r="M390" s="14"/>
      <c r="N390" s="24"/>
    </row>
    <row r="391" spans="1:14" s="41" customFormat="1" ht="29.25" customHeight="1">
      <c r="A391" s="53">
        <v>5</v>
      </c>
      <c r="B391" s="192" t="s">
        <v>174</v>
      </c>
      <c r="C391" s="2">
        <v>10503</v>
      </c>
      <c r="D391" s="2">
        <f>C391</f>
        <v>10503</v>
      </c>
      <c r="E391" s="2">
        <v>0</v>
      </c>
      <c r="F391" s="2">
        <f>D391-E391</f>
        <v>10503</v>
      </c>
      <c r="G391" s="58">
        <f>SUM(H391:M391)</f>
        <v>2000</v>
      </c>
      <c r="H391" s="2"/>
      <c r="I391" s="2"/>
      <c r="J391" s="2"/>
      <c r="K391" s="2"/>
      <c r="L391" s="2">
        <v>2000</v>
      </c>
      <c r="M391" s="42"/>
      <c r="N391" s="22" t="s">
        <v>153</v>
      </c>
    </row>
    <row r="392" spans="1:14" s="41" customFormat="1" ht="29.25" customHeight="1">
      <c r="A392" s="53"/>
      <c r="B392" s="162" t="s">
        <v>173</v>
      </c>
      <c r="C392" s="2">
        <v>8496</v>
      </c>
      <c r="D392" s="2">
        <f>C392</f>
        <v>8496</v>
      </c>
      <c r="E392" s="2">
        <v>0</v>
      </c>
      <c r="F392" s="2">
        <f>D392-E392</f>
        <v>8496</v>
      </c>
      <c r="G392" s="58">
        <f>SUM(H392:M392)</f>
        <v>1618</v>
      </c>
      <c r="H392" s="2"/>
      <c r="I392" s="2"/>
      <c r="J392" s="2"/>
      <c r="K392" s="2"/>
      <c r="L392" s="2">
        <v>1618</v>
      </c>
      <c r="M392" s="42"/>
      <c r="N392" s="24"/>
    </row>
    <row r="393" spans="1:14" s="41" customFormat="1" ht="14.25" customHeight="1">
      <c r="A393" s="50"/>
      <c r="B393" s="32"/>
      <c r="C393" s="52"/>
      <c r="D393" s="52"/>
      <c r="E393" s="52"/>
      <c r="F393" s="1"/>
      <c r="G393" s="202"/>
      <c r="H393" s="52"/>
      <c r="I393" s="52"/>
      <c r="J393" s="52"/>
      <c r="K393" s="52"/>
      <c r="L393" s="52"/>
      <c r="M393" s="52"/>
      <c r="N393" s="22"/>
    </row>
    <row r="394" spans="1:14" s="41" customFormat="1" ht="14.25" customHeight="1">
      <c r="A394" s="50"/>
      <c r="B394" s="32"/>
      <c r="C394" s="52"/>
      <c r="D394" s="52"/>
      <c r="E394" s="52"/>
      <c r="F394" s="1"/>
      <c r="G394" s="202"/>
      <c r="H394" s="52"/>
      <c r="I394" s="52"/>
      <c r="J394" s="52"/>
      <c r="K394" s="52"/>
      <c r="L394" s="52"/>
      <c r="M394" s="52"/>
      <c r="N394" s="22"/>
    </row>
    <row r="395" spans="1:14" s="41" customFormat="1" ht="99.75">
      <c r="A395" s="50">
        <v>6</v>
      </c>
      <c r="B395" s="192" t="s">
        <v>175</v>
      </c>
      <c r="C395" s="51">
        <v>12772</v>
      </c>
      <c r="D395" s="51">
        <f>C395</f>
        <v>12772</v>
      </c>
      <c r="E395" s="51">
        <v>150</v>
      </c>
      <c r="F395" s="2">
        <f>D395-E395</f>
        <v>12622</v>
      </c>
      <c r="G395" s="58">
        <f>SUM(H395:M395)</f>
        <v>500</v>
      </c>
      <c r="H395" s="51"/>
      <c r="I395" s="51"/>
      <c r="J395" s="51"/>
      <c r="K395" s="51"/>
      <c r="L395" s="51">
        <v>500</v>
      </c>
      <c r="M395" s="51"/>
      <c r="N395" s="22" t="s">
        <v>153</v>
      </c>
    </row>
    <row r="396" spans="1:14" s="41" customFormat="1" ht="19.5" customHeight="1">
      <c r="A396" s="50"/>
      <c r="B396" s="32" t="s">
        <v>176</v>
      </c>
      <c r="C396" s="51">
        <v>4911</v>
      </c>
      <c r="D396" s="51">
        <f>C396</f>
        <v>4911</v>
      </c>
      <c r="E396" s="51">
        <v>0</v>
      </c>
      <c r="F396" s="2">
        <f>D396-E396</f>
        <v>4911</v>
      </c>
      <c r="G396" s="58">
        <f>SUM(H396:M396)</f>
        <v>50</v>
      </c>
      <c r="H396" s="51"/>
      <c r="I396" s="51"/>
      <c r="J396" s="51"/>
      <c r="K396" s="51"/>
      <c r="L396" s="51">
        <v>50</v>
      </c>
      <c r="M396" s="51"/>
      <c r="N396" s="22"/>
    </row>
    <row r="397" spans="1:14" s="41" customFormat="1" ht="19.5" customHeight="1">
      <c r="A397" s="50"/>
      <c r="B397" s="32"/>
      <c r="C397" s="52"/>
      <c r="D397" s="52"/>
      <c r="E397" s="52"/>
      <c r="F397" s="1"/>
      <c r="G397" s="202"/>
      <c r="H397" s="52"/>
      <c r="I397" s="52"/>
      <c r="J397" s="52"/>
      <c r="K397" s="52"/>
      <c r="L397" s="52"/>
      <c r="M397" s="52"/>
      <c r="N397" s="22"/>
    </row>
    <row r="398" spans="1:14" s="41" customFormat="1" ht="19.5" customHeight="1">
      <c r="A398" s="50"/>
      <c r="B398" s="32"/>
      <c r="C398" s="52"/>
      <c r="D398" s="52"/>
      <c r="E398" s="52"/>
      <c r="F398" s="1"/>
      <c r="G398" s="202"/>
      <c r="H398" s="52"/>
      <c r="I398" s="52"/>
      <c r="J398" s="52"/>
      <c r="K398" s="52"/>
      <c r="L398" s="52"/>
      <c r="M398" s="52"/>
      <c r="N398" s="22"/>
    </row>
    <row r="399" spans="1:14" s="41" customFormat="1" ht="57">
      <c r="A399" s="50">
        <v>7</v>
      </c>
      <c r="B399" s="192" t="s">
        <v>177</v>
      </c>
      <c r="C399" s="51">
        <v>13465</v>
      </c>
      <c r="D399" s="51">
        <f>C399</f>
        <v>13465</v>
      </c>
      <c r="E399" s="51">
        <v>118</v>
      </c>
      <c r="F399" s="2">
        <f>D399-E399</f>
        <v>13347</v>
      </c>
      <c r="G399" s="58">
        <f>SUM(H399:M399)</f>
        <v>500</v>
      </c>
      <c r="H399" s="51"/>
      <c r="I399" s="51"/>
      <c r="J399" s="51"/>
      <c r="K399" s="51"/>
      <c r="L399" s="51">
        <v>500</v>
      </c>
      <c r="M399" s="51"/>
      <c r="N399" s="22" t="s">
        <v>153</v>
      </c>
    </row>
    <row r="400" spans="1:14" s="41" customFormat="1" ht="15.75">
      <c r="A400" s="50"/>
      <c r="B400" s="32" t="s">
        <v>178</v>
      </c>
      <c r="C400" s="51">
        <v>11111</v>
      </c>
      <c r="D400" s="51">
        <f>C400</f>
        <v>11111</v>
      </c>
      <c r="E400" s="51">
        <v>0</v>
      </c>
      <c r="F400" s="2">
        <f>D400-E400</f>
        <v>11111</v>
      </c>
      <c r="G400" s="58">
        <f>SUM(H400:M400)</f>
        <v>412.58819160787226</v>
      </c>
      <c r="H400" s="51"/>
      <c r="I400" s="51"/>
      <c r="J400" s="51"/>
      <c r="K400" s="51"/>
      <c r="L400" s="51">
        <f>(C400/C399)*L399</f>
        <v>412.58819160787226</v>
      </c>
      <c r="M400" s="51"/>
      <c r="N400" s="22"/>
    </row>
    <row r="401" spans="1:14" s="41" customFormat="1" ht="18.75" customHeight="1">
      <c r="A401" s="53"/>
      <c r="B401" s="162"/>
      <c r="C401" s="1"/>
      <c r="D401" s="1"/>
      <c r="E401" s="1"/>
      <c r="F401" s="1"/>
      <c r="G401" s="202"/>
      <c r="H401" s="1"/>
      <c r="I401" s="1"/>
      <c r="J401" s="1"/>
      <c r="K401" s="1"/>
      <c r="M401" s="14"/>
      <c r="N401" s="24"/>
    </row>
    <row r="402" spans="1:14" s="41" customFormat="1" ht="18.75" customHeight="1">
      <c r="A402" s="53"/>
      <c r="B402" s="62"/>
      <c r="C402" s="1"/>
      <c r="D402" s="1"/>
      <c r="E402" s="1"/>
      <c r="F402" s="61"/>
      <c r="G402" s="46"/>
      <c r="H402" s="1"/>
      <c r="I402" s="1"/>
      <c r="J402" s="1"/>
      <c r="K402" s="1"/>
      <c r="L402" s="1"/>
      <c r="M402" s="14"/>
      <c r="N402" s="22"/>
    </row>
    <row r="403" spans="1:14" s="41" customFormat="1" ht="21" customHeight="1">
      <c r="A403" s="18" t="s">
        <v>37</v>
      </c>
      <c r="B403" s="34" t="s">
        <v>179</v>
      </c>
      <c r="C403" s="17">
        <f>C406+C407+C408</f>
        <v>16932</v>
      </c>
      <c r="D403" s="17">
        <f t="shared" ref="D403:M403" si="43">D406+D407+D408</f>
        <v>16932</v>
      </c>
      <c r="E403" s="17">
        <f t="shared" si="43"/>
        <v>1634</v>
      </c>
      <c r="F403" s="17">
        <f t="shared" si="43"/>
        <v>15298</v>
      </c>
      <c r="G403" s="17">
        <f t="shared" si="43"/>
        <v>15298</v>
      </c>
      <c r="H403" s="17">
        <f t="shared" si="43"/>
        <v>0</v>
      </c>
      <c r="I403" s="17">
        <f t="shared" si="43"/>
        <v>0</v>
      </c>
      <c r="J403" s="17">
        <f t="shared" si="43"/>
        <v>0</v>
      </c>
      <c r="K403" s="17">
        <f t="shared" si="43"/>
        <v>0</v>
      </c>
      <c r="L403" s="17">
        <f t="shared" si="43"/>
        <v>15298</v>
      </c>
      <c r="M403" s="17">
        <f t="shared" si="43"/>
        <v>0</v>
      </c>
      <c r="N403" s="22"/>
    </row>
    <row r="404" spans="1:14" s="41" customFormat="1" ht="21" customHeight="1">
      <c r="A404" s="18"/>
      <c r="B404" s="35" t="s">
        <v>180</v>
      </c>
      <c r="C404" s="1"/>
      <c r="D404" s="1"/>
      <c r="E404" s="1"/>
      <c r="F404" s="1"/>
      <c r="G404" s="46"/>
      <c r="H404" s="1"/>
      <c r="I404" s="1"/>
      <c r="J404" s="1"/>
      <c r="K404" s="1"/>
      <c r="L404" s="1"/>
      <c r="M404" s="1"/>
      <c r="N404" s="22"/>
    </row>
    <row r="405" spans="1:14" s="41" customFormat="1" ht="21" customHeight="1">
      <c r="A405" s="43"/>
      <c r="B405" s="16" t="s">
        <v>42</v>
      </c>
      <c r="C405" s="1"/>
      <c r="D405" s="1"/>
      <c r="E405" s="1"/>
      <c r="F405" s="1"/>
      <c r="G405" s="46"/>
      <c r="H405" s="1"/>
      <c r="I405" s="1"/>
      <c r="J405" s="1"/>
      <c r="K405" s="1"/>
      <c r="L405" s="1"/>
      <c r="M405" s="1"/>
      <c r="N405" s="22"/>
    </row>
    <row r="406" spans="1:14" s="41" customFormat="1" ht="24.75" customHeight="1">
      <c r="A406" s="12"/>
      <c r="B406" s="23" t="s">
        <v>62</v>
      </c>
      <c r="C406" s="1">
        <f>'A3 - STUDII SI PROIECTE 2024'!D186</f>
        <v>15059</v>
      </c>
      <c r="D406" s="1">
        <f>'A3 - STUDII SI PROIECTE 2024'!E186</f>
        <v>15059</v>
      </c>
      <c r="E406" s="1">
        <f>'A3 - STUDII SI PROIECTE 2024'!F186</f>
        <v>1496</v>
      </c>
      <c r="F406" s="1">
        <f>'A3 - STUDII SI PROIECTE 2024'!G186</f>
        <v>13563</v>
      </c>
      <c r="G406" s="46">
        <f>'A3 - STUDII SI PROIECTE 2024'!H186</f>
        <v>13563</v>
      </c>
      <c r="H406" s="1">
        <f>'A3 - STUDII SI PROIECTE 2024'!I186</f>
        <v>0</v>
      </c>
      <c r="I406" s="1">
        <f>'A3 - STUDII SI PROIECTE 2024'!J186</f>
        <v>0</v>
      </c>
      <c r="J406" s="1">
        <f>'A3 - STUDII SI PROIECTE 2024'!K186</f>
        <v>0</v>
      </c>
      <c r="K406" s="1">
        <f>'A3 - STUDII SI PROIECTE 2024'!L186</f>
        <v>0</v>
      </c>
      <c r="L406" s="1">
        <f>'A3 - STUDII SI PROIECTE 2024'!M186</f>
        <v>13563</v>
      </c>
      <c r="M406" s="1">
        <f>'A3 - STUDII SI PROIECTE 2024'!N186</f>
        <v>0</v>
      </c>
      <c r="N406" s="22"/>
    </row>
    <row r="407" spans="1:14" s="41" customFormat="1" ht="24.75" customHeight="1">
      <c r="A407" s="43"/>
      <c r="B407" s="23" t="s">
        <v>155</v>
      </c>
      <c r="C407" s="1">
        <f>'A3 - DOTARI 2024'!D116</f>
        <v>1688</v>
      </c>
      <c r="D407" s="1">
        <f>'A3 - DOTARI 2024'!E116</f>
        <v>1688</v>
      </c>
      <c r="E407" s="1">
        <f>'A3 - DOTARI 2024'!F116</f>
        <v>138</v>
      </c>
      <c r="F407" s="1">
        <f>'A3 - DOTARI 2024'!G116</f>
        <v>1550</v>
      </c>
      <c r="G407" s="46">
        <f>'A3 - DOTARI 2024'!H116</f>
        <v>1550</v>
      </c>
      <c r="H407" s="1">
        <f>'A3 - DOTARI 2024'!I116</f>
        <v>0</v>
      </c>
      <c r="I407" s="1">
        <f>'A3 - DOTARI 2024'!J116</f>
        <v>0</v>
      </c>
      <c r="J407" s="1">
        <f>'A3 - DOTARI 2024'!K116</f>
        <v>0</v>
      </c>
      <c r="K407" s="1">
        <f>'A3 - DOTARI 2024'!L116</f>
        <v>0</v>
      </c>
      <c r="L407" s="1">
        <f>'A3 - DOTARI 2024'!M116</f>
        <v>1550</v>
      </c>
      <c r="M407" s="1">
        <f>'A3 - DOTARI 2024'!N116</f>
        <v>0</v>
      </c>
      <c r="N407" s="22"/>
    </row>
    <row r="408" spans="1:14" s="41" customFormat="1" ht="24.75" customHeight="1">
      <c r="A408" s="43"/>
      <c r="B408" s="23" t="s">
        <v>130</v>
      </c>
      <c r="C408" s="63">
        <f>'A3 - ALTE CHELTUIELI 2024'!D64</f>
        <v>185</v>
      </c>
      <c r="D408" s="63">
        <f>'A3 - ALTE CHELTUIELI 2024'!E64</f>
        <v>185</v>
      </c>
      <c r="E408" s="63">
        <f>'A3 - ALTE CHELTUIELI 2024'!F64</f>
        <v>0</v>
      </c>
      <c r="F408" s="63">
        <f>'A3 - ALTE CHELTUIELI 2024'!G64</f>
        <v>185</v>
      </c>
      <c r="G408" s="239">
        <f>'A3 - ALTE CHELTUIELI 2024'!H64</f>
        <v>185</v>
      </c>
      <c r="H408" s="63">
        <f>'A3 - ALTE CHELTUIELI 2024'!I64</f>
        <v>0</v>
      </c>
      <c r="I408" s="63">
        <f>'A3 - ALTE CHELTUIELI 2024'!J64</f>
        <v>0</v>
      </c>
      <c r="J408" s="63">
        <f>'A3 - ALTE CHELTUIELI 2024'!K64</f>
        <v>0</v>
      </c>
      <c r="K408" s="63">
        <f>'A3 - ALTE CHELTUIELI 2024'!L64</f>
        <v>0</v>
      </c>
      <c r="L408" s="63">
        <f>'A3 - ALTE CHELTUIELI 2024'!M64</f>
        <v>185</v>
      </c>
      <c r="M408" s="63">
        <f>'A3 - ALTE CHELTUIELI 2024'!N64</f>
        <v>0</v>
      </c>
      <c r="N408" s="22"/>
    </row>
    <row r="409" spans="1:14" s="41" customFormat="1" ht="24.75" customHeight="1">
      <c r="A409" s="43"/>
      <c r="B409" s="23"/>
      <c r="C409" s="63"/>
      <c r="D409" s="63"/>
      <c r="E409" s="63"/>
      <c r="F409" s="63"/>
      <c r="G409" s="239"/>
      <c r="H409" s="63"/>
      <c r="I409" s="63"/>
      <c r="J409" s="63"/>
      <c r="K409" s="63"/>
      <c r="L409" s="63"/>
      <c r="M409" s="63"/>
      <c r="N409" s="22"/>
    </row>
    <row r="410" spans="1:14" s="41" customFormat="1" ht="33.75" customHeight="1">
      <c r="A410" s="277"/>
      <c r="B410" s="138" t="s">
        <v>181</v>
      </c>
      <c r="C410" s="9" t="s">
        <v>182</v>
      </c>
      <c r="D410" s="9"/>
      <c r="E410" s="9"/>
      <c r="F410" s="9"/>
      <c r="G410" s="9"/>
      <c r="H410" s="9"/>
      <c r="I410" s="9"/>
      <c r="J410" s="9"/>
      <c r="K410" s="9"/>
      <c r="L410" s="104"/>
      <c r="M410" s="9" t="s">
        <v>41</v>
      </c>
      <c r="N410" s="22"/>
    </row>
    <row r="411" spans="1:14" s="41" customFormat="1" ht="21.75" customHeight="1">
      <c r="A411" s="50"/>
      <c r="B411" s="16" t="s">
        <v>42</v>
      </c>
      <c r="C411" s="58">
        <f>C414+C418+C429</f>
        <v>94841</v>
      </c>
      <c r="D411" s="58">
        <f t="shared" ref="D411:M411" si="44">D414+D418+D429</f>
        <v>94841</v>
      </c>
      <c r="E411" s="58">
        <f t="shared" si="44"/>
        <v>3073</v>
      </c>
      <c r="F411" s="58">
        <f t="shared" si="44"/>
        <v>91768</v>
      </c>
      <c r="G411" s="58">
        <f t="shared" si="44"/>
        <v>65891</v>
      </c>
      <c r="H411" s="58">
        <f t="shared" si="44"/>
        <v>65291</v>
      </c>
      <c r="I411" s="58">
        <f t="shared" si="44"/>
        <v>0</v>
      </c>
      <c r="J411" s="58">
        <f t="shared" si="44"/>
        <v>0</v>
      </c>
      <c r="K411" s="58">
        <f t="shared" si="44"/>
        <v>0</v>
      </c>
      <c r="L411" s="58">
        <f t="shared" si="44"/>
        <v>600</v>
      </c>
      <c r="M411" s="58">
        <f t="shared" si="44"/>
        <v>0</v>
      </c>
      <c r="N411" s="22"/>
    </row>
    <row r="412" spans="1:14" s="41" customFormat="1" ht="21.75" customHeight="1">
      <c r="A412" s="50"/>
      <c r="B412" s="23"/>
      <c r="C412" s="58">
        <f>C415+C419+C430</f>
        <v>18169</v>
      </c>
      <c r="D412" s="58">
        <f t="shared" ref="D412:M412" si="45">D415+D419+D430</f>
        <v>18169</v>
      </c>
      <c r="E412" s="58">
        <f t="shared" si="45"/>
        <v>0</v>
      </c>
      <c r="F412" s="58">
        <f t="shared" si="45"/>
        <v>18169</v>
      </c>
      <c r="G412" s="58">
        <f t="shared" si="45"/>
        <v>15405</v>
      </c>
      <c r="H412" s="58">
        <f t="shared" si="45"/>
        <v>15405</v>
      </c>
      <c r="I412" s="58">
        <f t="shared" si="45"/>
        <v>0</v>
      </c>
      <c r="J412" s="58">
        <f t="shared" si="45"/>
        <v>0</v>
      </c>
      <c r="K412" s="58">
        <f t="shared" si="45"/>
        <v>0</v>
      </c>
      <c r="L412" s="58">
        <f t="shared" si="45"/>
        <v>0</v>
      </c>
      <c r="M412" s="58">
        <f t="shared" si="45"/>
        <v>0</v>
      </c>
      <c r="N412" s="22"/>
    </row>
    <row r="413" spans="1:14" s="41" customFormat="1" ht="18.75" customHeight="1">
      <c r="A413" s="50"/>
      <c r="B413" s="23"/>
      <c r="C413" s="52"/>
      <c r="D413" s="52"/>
      <c r="E413" s="52"/>
      <c r="F413" s="52"/>
      <c r="G413" s="202"/>
      <c r="H413" s="52"/>
      <c r="I413" s="52"/>
      <c r="J413" s="52"/>
      <c r="K413" s="52"/>
      <c r="L413" s="52"/>
      <c r="M413" s="52"/>
      <c r="N413" s="22"/>
    </row>
    <row r="414" spans="1:14" s="41" customFormat="1" ht="21" customHeight="1">
      <c r="A414" s="50" t="s">
        <v>70</v>
      </c>
      <c r="B414" s="34" t="s">
        <v>43</v>
      </c>
      <c r="C414" s="274">
        <v>0</v>
      </c>
      <c r="D414" s="274">
        <v>0</v>
      </c>
      <c r="E414" s="274">
        <v>0</v>
      </c>
      <c r="F414" s="274">
        <v>0</v>
      </c>
      <c r="G414" s="274">
        <v>0</v>
      </c>
      <c r="H414" s="274">
        <v>0</v>
      </c>
      <c r="I414" s="274">
        <v>0</v>
      </c>
      <c r="J414" s="274">
        <v>0</v>
      </c>
      <c r="K414" s="274">
        <v>0</v>
      </c>
      <c r="L414" s="274">
        <v>0</v>
      </c>
      <c r="M414" s="274">
        <v>0</v>
      </c>
      <c r="N414" s="22"/>
    </row>
    <row r="415" spans="1:14" s="41" customFormat="1" ht="21" customHeight="1">
      <c r="A415" s="50"/>
      <c r="B415" s="35" t="s">
        <v>34</v>
      </c>
      <c r="C415" s="274">
        <v>0</v>
      </c>
      <c r="D415" s="274">
        <v>0</v>
      </c>
      <c r="E415" s="274">
        <v>0</v>
      </c>
      <c r="F415" s="274">
        <v>0</v>
      </c>
      <c r="G415" s="274">
        <v>0</v>
      </c>
      <c r="H415" s="274">
        <v>0</v>
      </c>
      <c r="I415" s="274">
        <v>0</v>
      </c>
      <c r="J415" s="274">
        <v>0</v>
      </c>
      <c r="K415" s="274">
        <v>0</v>
      </c>
      <c r="L415" s="274">
        <v>0</v>
      </c>
      <c r="M415" s="274">
        <v>0</v>
      </c>
      <c r="N415" s="22"/>
    </row>
    <row r="416" spans="1:14" s="41" customFormat="1" ht="15.75">
      <c r="A416" s="50"/>
      <c r="B416" s="32" t="s">
        <v>159</v>
      </c>
      <c r="C416" s="52"/>
      <c r="D416" s="52"/>
      <c r="E416" s="52"/>
      <c r="F416" s="52"/>
      <c r="G416" s="202"/>
      <c r="H416" s="52"/>
      <c r="I416" s="52"/>
      <c r="J416" s="52"/>
      <c r="K416" s="52"/>
      <c r="L416" s="52"/>
      <c r="M416" s="52"/>
      <c r="N416" s="22"/>
    </row>
    <row r="417" spans="1:14" s="41" customFormat="1" ht="11.25" customHeight="1">
      <c r="A417" s="50"/>
      <c r="B417" s="140"/>
      <c r="C417" s="1"/>
      <c r="D417" s="1"/>
      <c r="E417" s="1"/>
      <c r="F417" s="1"/>
      <c r="G417" s="202"/>
      <c r="H417" s="1"/>
      <c r="I417" s="1"/>
      <c r="J417" s="1"/>
      <c r="K417" s="1"/>
      <c r="L417" s="1"/>
      <c r="M417" s="14"/>
      <c r="N417" s="22"/>
    </row>
    <row r="418" spans="1:14" s="41" customFormat="1" ht="21.75" customHeight="1">
      <c r="A418" s="8" t="s">
        <v>35</v>
      </c>
      <c r="B418" s="34" t="s">
        <v>43</v>
      </c>
      <c r="C418" s="274">
        <f>C421+C425</f>
        <v>58570</v>
      </c>
      <c r="D418" s="274">
        <f t="shared" ref="D418:M418" si="46">D421+D425</f>
        <v>58570</v>
      </c>
      <c r="E418" s="274">
        <f t="shared" si="46"/>
        <v>0</v>
      </c>
      <c r="F418" s="274">
        <f t="shared" si="46"/>
        <v>58570</v>
      </c>
      <c r="G418" s="274">
        <f t="shared" si="46"/>
        <v>37247</v>
      </c>
      <c r="H418" s="274">
        <f t="shared" si="46"/>
        <v>37247</v>
      </c>
      <c r="I418" s="274">
        <f t="shared" si="46"/>
        <v>0</v>
      </c>
      <c r="J418" s="274">
        <f t="shared" si="46"/>
        <v>0</v>
      </c>
      <c r="K418" s="274">
        <f t="shared" si="46"/>
        <v>0</v>
      </c>
      <c r="L418" s="274">
        <f t="shared" si="46"/>
        <v>0</v>
      </c>
      <c r="M418" s="274">
        <f t="shared" si="46"/>
        <v>0</v>
      </c>
      <c r="N418" s="22"/>
    </row>
    <row r="419" spans="1:14" s="41" customFormat="1" ht="21.75" customHeight="1">
      <c r="A419" s="50"/>
      <c r="B419" s="35" t="s">
        <v>36</v>
      </c>
      <c r="C419" s="274">
        <f>C422+C426</f>
        <v>18169</v>
      </c>
      <c r="D419" s="274">
        <f t="shared" ref="D419:M419" si="47">D422+D426</f>
        <v>18169</v>
      </c>
      <c r="E419" s="274">
        <f t="shared" si="47"/>
        <v>0</v>
      </c>
      <c r="F419" s="274">
        <f t="shared" si="47"/>
        <v>18169</v>
      </c>
      <c r="G419" s="274">
        <f t="shared" si="47"/>
        <v>15405</v>
      </c>
      <c r="H419" s="274">
        <f t="shared" si="47"/>
        <v>15405</v>
      </c>
      <c r="I419" s="274">
        <f t="shared" si="47"/>
        <v>0</v>
      </c>
      <c r="J419" s="274">
        <f t="shared" si="47"/>
        <v>0</v>
      </c>
      <c r="K419" s="274">
        <f t="shared" si="47"/>
        <v>0</v>
      </c>
      <c r="L419" s="274">
        <f t="shared" si="47"/>
        <v>0</v>
      </c>
      <c r="M419" s="274">
        <f t="shared" si="47"/>
        <v>0</v>
      </c>
      <c r="N419" s="22"/>
    </row>
    <row r="420" spans="1:14" s="41" customFormat="1" ht="28.5" customHeight="1">
      <c r="A420" s="50"/>
      <c r="B420" s="32"/>
      <c r="C420" s="52"/>
      <c r="D420" s="52"/>
      <c r="E420" s="52"/>
      <c r="F420" s="52"/>
      <c r="G420" s="202"/>
      <c r="H420" s="52"/>
      <c r="I420" s="52"/>
      <c r="J420" s="52"/>
      <c r="K420" s="52"/>
      <c r="L420" s="52"/>
      <c r="M420" s="52"/>
      <c r="N420" s="22"/>
    </row>
    <row r="421" spans="1:14" s="41" customFormat="1" ht="42.75">
      <c r="A421" s="50">
        <v>1</v>
      </c>
      <c r="B421" s="192" t="s">
        <v>183</v>
      </c>
      <c r="C421" s="51">
        <v>53096</v>
      </c>
      <c r="D421" s="51">
        <f>C421</f>
        <v>53096</v>
      </c>
      <c r="E421" s="51">
        <v>0</v>
      </c>
      <c r="F421" s="2">
        <f>D421-E421</f>
        <v>53096</v>
      </c>
      <c r="G421" s="58">
        <f>SUM(H421:M421)</f>
        <v>31773</v>
      </c>
      <c r="H421" s="51">
        <v>31773</v>
      </c>
      <c r="I421" s="51"/>
      <c r="J421" s="51"/>
      <c r="K421" s="51"/>
      <c r="L421" s="51"/>
      <c r="M421" s="51"/>
      <c r="N421" s="22" t="s">
        <v>153</v>
      </c>
    </row>
    <row r="422" spans="1:14" s="41" customFormat="1" ht="23.25" customHeight="1">
      <c r="A422" s="50"/>
      <c r="B422" s="130" t="s">
        <v>184</v>
      </c>
      <c r="C422" s="51">
        <v>14883</v>
      </c>
      <c r="D422" s="51">
        <f>C422</f>
        <v>14883</v>
      </c>
      <c r="E422" s="51">
        <v>0</v>
      </c>
      <c r="F422" s="2">
        <f>D422-E422</f>
        <v>14883</v>
      </c>
      <c r="G422" s="58">
        <f>SUM(H422:M422)</f>
        <v>12119</v>
      </c>
      <c r="H422" s="51">
        <v>12119</v>
      </c>
      <c r="I422" s="51"/>
      <c r="J422" s="51"/>
      <c r="K422" s="51"/>
      <c r="L422" s="51"/>
      <c r="M422" s="51"/>
      <c r="N422" s="22"/>
    </row>
    <row r="423" spans="1:14" s="41" customFormat="1" ht="15.75">
      <c r="A423" s="50"/>
      <c r="B423" s="32"/>
      <c r="C423" s="52"/>
      <c r="D423" s="52"/>
      <c r="E423" s="52"/>
      <c r="F423" s="1"/>
      <c r="G423" s="202"/>
      <c r="H423" s="52"/>
      <c r="I423" s="52"/>
      <c r="J423" s="52"/>
      <c r="K423" s="52"/>
      <c r="L423" s="52"/>
      <c r="M423" s="52"/>
      <c r="N423" s="22"/>
    </row>
    <row r="424" spans="1:14" s="41" customFormat="1" ht="15.75">
      <c r="A424" s="50"/>
      <c r="B424" s="32"/>
      <c r="C424" s="52"/>
      <c r="D424" s="52"/>
      <c r="E424" s="52"/>
      <c r="F424" s="1"/>
      <c r="G424" s="202"/>
      <c r="H424" s="52"/>
      <c r="I424" s="52"/>
      <c r="J424" s="52"/>
      <c r="K424" s="52"/>
      <c r="L424" s="52"/>
      <c r="M424" s="52"/>
      <c r="N424" s="22"/>
    </row>
    <row r="425" spans="1:14" s="41" customFormat="1" ht="42.75">
      <c r="A425" s="50">
        <v>2</v>
      </c>
      <c r="B425" s="192" t="s">
        <v>185</v>
      </c>
      <c r="C425" s="51">
        <v>5474</v>
      </c>
      <c r="D425" s="51">
        <f>C425</f>
        <v>5474</v>
      </c>
      <c r="E425" s="51">
        <v>0</v>
      </c>
      <c r="F425" s="2">
        <f>D425-E425</f>
        <v>5474</v>
      </c>
      <c r="G425" s="58">
        <f>SUM(H425:M425)</f>
        <v>5474</v>
      </c>
      <c r="H425" s="51">
        <v>5474</v>
      </c>
      <c r="I425" s="51"/>
      <c r="J425" s="51"/>
      <c r="K425" s="51"/>
      <c r="L425" s="51">
        <v>0</v>
      </c>
      <c r="M425" s="51"/>
      <c r="N425" s="22" t="s">
        <v>153</v>
      </c>
    </row>
    <row r="426" spans="1:14" s="41" customFormat="1" ht="23.25" customHeight="1">
      <c r="A426" s="50"/>
      <c r="B426" s="130" t="s">
        <v>184</v>
      </c>
      <c r="C426" s="51">
        <v>3286</v>
      </c>
      <c r="D426" s="51">
        <f>C426</f>
        <v>3286</v>
      </c>
      <c r="E426" s="51">
        <v>0</v>
      </c>
      <c r="F426" s="2">
        <f>D426-E426</f>
        <v>3286</v>
      </c>
      <c r="G426" s="58">
        <f>SUM(H426:M426)</f>
        <v>3286</v>
      </c>
      <c r="H426" s="51">
        <v>3286</v>
      </c>
      <c r="I426" s="51"/>
      <c r="J426" s="51"/>
      <c r="K426" s="51"/>
      <c r="L426" s="51">
        <v>0</v>
      </c>
      <c r="M426" s="51"/>
      <c r="N426" s="22"/>
    </row>
    <row r="427" spans="1:14" s="41" customFormat="1" ht="15.75">
      <c r="A427" s="50"/>
      <c r="B427" s="32"/>
      <c r="C427" s="52"/>
      <c r="D427" s="52"/>
      <c r="E427" s="52"/>
      <c r="F427" s="1"/>
      <c r="G427" s="202"/>
      <c r="H427" s="52"/>
      <c r="I427" s="52"/>
      <c r="J427" s="52"/>
      <c r="K427" s="52"/>
      <c r="L427" s="52"/>
      <c r="M427" s="52"/>
      <c r="N427" s="22"/>
    </row>
    <row r="428" spans="1:14" s="41" customFormat="1" ht="15.75">
      <c r="A428" s="50"/>
      <c r="B428" s="32"/>
      <c r="C428" s="52"/>
      <c r="D428" s="52"/>
      <c r="E428" s="52"/>
      <c r="F428" s="52"/>
      <c r="G428" s="202"/>
      <c r="H428" s="52"/>
      <c r="I428" s="52"/>
      <c r="J428" s="52"/>
      <c r="K428" s="52"/>
      <c r="L428" s="52"/>
      <c r="M428" s="52"/>
      <c r="N428" s="22"/>
    </row>
    <row r="429" spans="1:14" s="41" customFormat="1" ht="23.25" customHeight="1">
      <c r="A429" s="50" t="s">
        <v>37</v>
      </c>
      <c r="B429" s="34" t="s">
        <v>60</v>
      </c>
      <c r="C429" s="274">
        <f>C432+C433</f>
        <v>36271</v>
      </c>
      <c r="D429" s="274">
        <f t="shared" ref="D429:M429" si="48">D432+D433</f>
        <v>36271</v>
      </c>
      <c r="E429" s="274">
        <f t="shared" si="48"/>
        <v>3073</v>
      </c>
      <c r="F429" s="274">
        <f t="shared" si="48"/>
        <v>33198</v>
      </c>
      <c r="G429" s="274">
        <f t="shared" si="48"/>
        <v>28644</v>
      </c>
      <c r="H429" s="274">
        <f t="shared" si="48"/>
        <v>28044</v>
      </c>
      <c r="I429" s="274">
        <f t="shared" si="48"/>
        <v>0</v>
      </c>
      <c r="J429" s="274">
        <f t="shared" si="48"/>
        <v>0</v>
      </c>
      <c r="K429" s="274">
        <f t="shared" si="48"/>
        <v>0</v>
      </c>
      <c r="L429" s="274">
        <f t="shared" si="48"/>
        <v>600</v>
      </c>
      <c r="M429" s="274">
        <f t="shared" si="48"/>
        <v>0</v>
      </c>
      <c r="N429" s="22"/>
    </row>
    <row r="430" spans="1:14" s="41" customFormat="1" ht="23.25" customHeight="1">
      <c r="A430" s="50"/>
      <c r="B430" s="35" t="s">
        <v>61</v>
      </c>
      <c r="C430" s="52"/>
      <c r="D430" s="52"/>
      <c r="E430" s="52"/>
      <c r="F430" s="52"/>
      <c r="G430" s="202"/>
      <c r="H430" s="52"/>
      <c r="I430" s="52"/>
      <c r="J430" s="52"/>
      <c r="K430" s="52"/>
      <c r="L430" s="52"/>
      <c r="M430" s="52"/>
      <c r="N430" s="54"/>
    </row>
    <row r="431" spans="1:14" s="41" customFormat="1" ht="23.25" customHeight="1">
      <c r="A431" s="50"/>
      <c r="B431" s="16" t="s">
        <v>42</v>
      </c>
      <c r="C431" s="52"/>
      <c r="D431" s="52"/>
      <c r="E431" s="52"/>
      <c r="F431" s="52"/>
      <c r="G431" s="202"/>
      <c r="H431" s="52"/>
      <c r="I431" s="52"/>
      <c r="J431" s="52"/>
      <c r="K431" s="52"/>
      <c r="L431" s="52"/>
      <c r="M431" s="52"/>
      <c r="N431" s="55"/>
    </row>
    <row r="432" spans="1:14" s="41" customFormat="1" ht="23.25" customHeight="1">
      <c r="A432" s="50"/>
      <c r="B432" s="23" t="s">
        <v>62</v>
      </c>
      <c r="C432" s="64">
        <f>'A3 - STUDII SI PROIECTE 2024'!D195</f>
        <v>9329</v>
      </c>
      <c r="D432" s="64">
        <f>'A3 - STUDII SI PROIECTE 2024'!E195</f>
        <v>9329</v>
      </c>
      <c r="E432" s="64">
        <f>'A3 - STUDII SI PROIECTE 2024'!F195</f>
        <v>3073</v>
      </c>
      <c r="F432" s="64">
        <f>'A3 - STUDII SI PROIECTE 2024'!G195</f>
        <v>6256</v>
      </c>
      <c r="G432" s="384">
        <f>'A3 - STUDII SI PROIECTE 2024'!H195</f>
        <v>1702</v>
      </c>
      <c r="H432" s="64">
        <f>'A3 - STUDII SI PROIECTE 2024'!I195</f>
        <v>1102</v>
      </c>
      <c r="I432" s="64">
        <f>'A3 - STUDII SI PROIECTE 2024'!J195</f>
        <v>0</v>
      </c>
      <c r="J432" s="64">
        <f>'A3 - STUDII SI PROIECTE 2024'!K195</f>
        <v>0</v>
      </c>
      <c r="K432" s="64">
        <f>'A3 - STUDII SI PROIECTE 2024'!L195</f>
        <v>0</v>
      </c>
      <c r="L432" s="64">
        <f>'A3 - STUDII SI PROIECTE 2024'!M195</f>
        <v>600</v>
      </c>
      <c r="M432" s="64">
        <f>'A3 - STUDII SI PROIECTE 2024'!N195</f>
        <v>0</v>
      </c>
      <c r="N432" s="55"/>
    </row>
    <row r="433" spans="1:14" s="41" customFormat="1" ht="23.25" customHeight="1">
      <c r="A433" s="43"/>
      <c r="B433" s="23" t="s">
        <v>155</v>
      </c>
      <c r="C433" s="1">
        <f>'A3 - DOTARI 2024'!D124</f>
        <v>26942</v>
      </c>
      <c r="D433" s="1">
        <f>'A3 - DOTARI 2024'!E124</f>
        <v>26942</v>
      </c>
      <c r="E433" s="1">
        <f>'A3 - DOTARI 2024'!F124</f>
        <v>0</v>
      </c>
      <c r="F433" s="1">
        <f>'A3 - DOTARI 2024'!G124</f>
        <v>26942</v>
      </c>
      <c r="G433" s="46">
        <f>'A3 - DOTARI 2024'!H124</f>
        <v>26942</v>
      </c>
      <c r="H433" s="1">
        <f>'A3 - DOTARI 2024'!I124</f>
        <v>26942</v>
      </c>
      <c r="I433" s="1">
        <f>'A3 - DOTARI 2024'!J124</f>
        <v>0</v>
      </c>
      <c r="J433" s="1">
        <f>'A3 - DOTARI 2024'!K124</f>
        <v>0</v>
      </c>
      <c r="K433" s="1">
        <f>'A3 - DOTARI 2024'!L124</f>
        <v>0</v>
      </c>
      <c r="L433" s="1">
        <f>'A3 - DOTARI 2024'!M124</f>
        <v>0</v>
      </c>
      <c r="M433" s="1">
        <f>'A3 - DOTARI 2024'!N124</f>
        <v>0</v>
      </c>
      <c r="N433" s="55"/>
    </row>
    <row r="434" spans="1:14" s="41" customFormat="1" ht="23.25" customHeight="1">
      <c r="A434" s="43"/>
      <c r="B434" s="23"/>
      <c r="C434" s="1"/>
      <c r="D434" s="1"/>
      <c r="E434" s="1"/>
      <c r="F434" s="1"/>
      <c r="G434" s="46"/>
      <c r="H434" s="1"/>
      <c r="I434" s="1"/>
      <c r="J434" s="1"/>
      <c r="K434" s="1"/>
      <c r="L434" s="1"/>
      <c r="M434" s="1"/>
      <c r="N434" s="55"/>
    </row>
    <row r="435" spans="1:14" s="41" customFormat="1" ht="23.25" customHeight="1">
      <c r="A435" s="43"/>
      <c r="B435" s="23"/>
      <c r="C435" s="1"/>
      <c r="D435" s="1"/>
      <c r="E435" s="1"/>
      <c r="F435" s="1"/>
      <c r="G435" s="46"/>
      <c r="H435" s="1"/>
      <c r="I435" s="1"/>
      <c r="J435" s="1"/>
      <c r="K435" s="1"/>
      <c r="L435" s="1"/>
      <c r="M435" s="1"/>
      <c r="N435" s="55"/>
    </row>
    <row r="436" spans="1:14" s="41" customFormat="1" ht="23.25" customHeight="1">
      <c r="A436" s="43"/>
      <c r="B436" s="23"/>
      <c r="C436" s="1"/>
      <c r="D436" s="1"/>
      <c r="E436" s="1"/>
      <c r="F436" s="1"/>
      <c r="G436" s="46"/>
      <c r="H436" s="1"/>
      <c r="I436" s="1"/>
      <c r="J436" s="1"/>
      <c r="K436" s="1"/>
      <c r="L436" s="1"/>
      <c r="M436" s="1"/>
      <c r="N436" s="55"/>
    </row>
    <row r="437" spans="1:14" s="41" customFormat="1" ht="23.25" customHeight="1">
      <c r="A437" s="43"/>
      <c r="B437" s="23"/>
      <c r="C437" s="1"/>
      <c r="D437" s="1"/>
      <c r="E437" s="1"/>
      <c r="F437" s="1"/>
      <c r="G437" s="46"/>
      <c r="H437" s="1"/>
      <c r="I437" s="1"/>
      <c r="J437" s="1"/>
      <c r="K437" s="1"/>
      <c r="L437" s="1"/>
      <c r="M437" s="1"/>
      <c r="N437" s="55"/>
    </row>
    <row r="438" spans="1:14" s="41" customFormat="1" ht="23.25" customHeight="1">
      <c r="A438" s="43"/>
      <c r="B438" s="23"/>
      <c r="C438" s="1"/>
      <c r="D438" s="1"/>
      <c r="E438" s="1"/>
      <c r="F438" s="1"/>
      <c r="G438" s="46"/>
      <c r="H438" s="1"/>
      <c r="I438" s="1"/>
      <c r="J438" s="1"/>
      <c r="K438" s="1"/>
      <c r="L438" s="1"/>
      <c r="M438" s="1"/>
      <c r="N438" s="55"/>
    </row>
    <row r="439" spans="1:14" s="41" customFormat="1" ht="23.25" customHeight="1">
      <c r="A439" s="43"/>
      <c r="B439" s="23"/>
      <c r="C439" s="1"/>
      <c r="D439" s="1"/>
      <c r="E439" s="1"/>
      <c r="F439" s="1"/>
      <c r="G439" s="46"/>
      <c r="H439" s="1"/>
      <c r="I439" s="1"/>
      <c r="J439" s="1"/>
      <c r="K439" s="1"/>
      <c r="L439" s="1"/>
      <c r="M439" s="1"/>
      <c r="N439" s="55"/>
    </row>
    <row r="440" spans="1:14" s="41" customFormat="1" ht="23.25" customHeight="1">
      <c r="A440" s="43"/>
      <c r="B440" s="23"/>
      <c r="C440" s="1"/>
      <c r="D440" s="1"/>
      <c r="E440" s="1"/>
      <c r="F440" s="1"/>
      <c r="G440" s="46"/>
      <c r="H440" s="1"/>
      <c r="I440" s="1"/>
      <c r="J440" s="1"/>
      <c r="K440" s="1"/>
      <c r="L440" s="1"/>
      <c r="M440" s="1"/>
      <c r="N440" s="55"/>
    </row>
    <row r="441" spans="1:14" s="41" customFormat="1" ht="23.25" customHeight="1">
      <c r="A441" s="43"/>
      <c r="B441" s="23"/>
      <c r="C441" s="1"/>
      <c r="D441" s="1"/>
      <c r="E441" s="1"/>
      <c r="F441" s="1"/>
      <c r="G441" s="46"/>
      <c r="H441" s="1"/>
      <c r="I441" s="1"/>
      <c r="J441" s="1"/>
      <c r="K441" s="1"/>
      <c r="L441" s="1"/>
      <c r="M441" s="1"/>
      <c r="N441" s="55"/>
    </row>
    <row r="442" spans="1:14" s="41" customFormat="1" ht="23.25" customHeight="1">
      <c r="A442" s="43"/>
      <c r="B442" s="23"/>
      <c r="C442" s="1"/>
      <c r="D442" s="1"/>
      <c r="E442" s="1"/>
      <c r="F442" s="1"/>
      <c r="G442" s="46"/>
      <c r="H442" s="1"/>
      <c r="I442" s="1"/>
      <c r="J442" s="1"/>
      <c r="K442" s="1"/>
      <c r="L442" s="1"/>
      <c r="M442" s="1"/>
      <c r="N442" s="55"/>
    </row>
    <row r="443" spans="1:14" s="41" customFormat="1" ht="23.25" customHeight="1">
      <c r="A443" s="43"/>
      <c r="B443" s="23"/>
      <c r="C443" s="1"/>
      <c r="D443" s="1"/>
      <c r="E443" s="1"/>
      <c r="F443" s="1"/>
      <c r="G443" s="46"/>
      <c r="H443" s="1"/>
      <c r="I443" s="1"/>
      <c r="J443" s="1"/>
      <c r="K443" s="1"/>
      <c r="L443" s="1"/>
      <c r="M443" s="1"/>
      <c r="N443" s="55"/>
    </row>
    <row r="444" spans="1:14" s="41" customFormat="1" ht="23.25" customHeight="1">
      <c r="A444" s="43"/>
      <c r="B444" s="23"/>
      <c r="C444" s="1"/>
      <c r="D444" s="1"/>
      <c r="E444" s="1"/>
      <c r="F444" s="1"/>
      <c r="G444" s="46"/>
      <c r="H444" s="1"/>
      <c r="I444" s="1"/>
      <c r="J444" s="1"/>
      <c r="K444" s="1"/>
      <c r="L444" s="1"/>
      <c r="M444" s="1"/>
      <c r="N444" s="55"/>
    </row>
    <row r="445" spans="1:14" s="41" customFormat="1" ht="23.25" customHeight="1">
      <c r="A445" s="43"/>
      <c r="B445" s="23"/>
      <c r="C445" s="1"/>
      <c r="D445" s="1"/>
      <c r="E445" s="1"/>
      <c r="F445" s="1"/>
      <c r="G445" s="46"/>
      <c r="H445" s="1"/>
      <c r="I445" s="1"/>
      <c r="J445" s="1"/>
      <c r="K445" s="1"/>
      <c r="L445" s="1"/>
      <c r="M445" s="1"/>
      <c r="N445" s="55"/>
    </row>
    <row r="446" spans="1:14" s="41" customFormat="1" ht="12.75" customHeight="1">
      <c r="A446" s="43"/>
      <c r="B446" s="23"/>
      <c r="C446" s="1"/>
      <c r="D446" s="1"/>
      <c r="E446" s="1"/>
      <c r="F446" s="1"/>
      <c r="G446" s="46"/>
      <c r="H446" s="1"/>
      <c r="I446" s="1"/>
      <c r="J446" s="1"/>
      <c r="K446" s="1"/>
      <c r="L446" s="1"/>
      <c r="M446" s="1"/>
      <c r="N446" s="55"/>
    </row>
    <row r="447" spans="1:14" s="41" customFormat="1" ht="12.75" customHeight="1">
      <c r="A447" s="43"/>
      <c r="B447" s="23"/>
      <c r="C447" s="1"/>
      <c r="D447" s="1"/>
      <c r="E447" s="1"/>
      <c r="F447" s="1"/>
      <c r="G447" s="46"/>
      <c r="H447" s="1"/>
      <c r="I447" s="1"/>
      <c r="J447" s="1"/>
      <c r="K447" s="1"/>
      <c r="L447" s="1"/>
      <c r="M447" s="1"/>
      <c r="N447" s="55"/>
    </row>
    <row r="448" spans="1:14" s="41" customFormat="1" ht="28.5" customHeight="1">
      <c r="A448" s="277"/>
      <c r="B448" s="138" t="s">
        <v>186</v>
      </c>
      <c r="C448" s="9" t="s">
        <v>187</v>
      </c>
      <c r="D448" s="9"/>
      <c r="E448" s="9"/>
      <c r="F448" s="9"/>
      <c r="G448" s="9"/>
      <c r="H448" s="6"/>
      <c r="I448" s="6"/>
      <c r="J448" s="6"/>
      <c r="K448" s="6"/>
      <c r="L448" s="49"/>
      <c r="M448" s="6" t="s">
        <v>41</v>
      </c>
      <c r="N448" s="22"/>
    </row>
    <row r="449" spans="1:14" s="41" customFormat="1" ht="15" customHeight="1">
      <c r="A449" s="277"/>
      <c r="B449" s="138"/>
      <c r="C449" s="9"/>
      <c r="D449" s="9"/>
      <c r="E449" s="9"/>
      <c r="F449" s="9"/>
      <c r="G449" s="202"/>
      <c r="H449" s="202"/>
      <c r="I449" s="202"/>
      <c r="J449" s="202"/>
      <c r="K449" s="52"/>
      <c r="L449" s="202"/>
      <c r="M449" s="52"/>
      <c r="N449" s="22"/>
    </row>
    <row r="450" spans="1:14" s="41" customFormat="1" ht="26.25" customHeight="1">
      <c r="A450" s="50"/>
      <c r="B450" s="16" t="s">
        <v>42</v>
      </c>
      <c r="C450" s="58">
        <f>C453+C461+C465</f>
        <v>13038</v>
      </c>
      <c r="D450" s="58">
        <f t="shared" ref="D450:M450" si="49">D453+D461+D465</f>
        <v>29362</v>
      </c>
      <c r="E450" s="58">
        <f t="shared" si="49"/>
        <v>10503</v>
      </c>
      <c r="F450" s="58">
        <f t="shared" si="49"/>
        <v>18859</v>
      </c>
      <c r="G450" s="58">
        <f t="shared" si="49"/>
        <v>2028</v>
      </c>
      <c r="H450" s="58">
        <f t="shared" si="49"/>
        <v>0</v>
      </c>
      <c r="I450" s="58">
        <f t="shared" si="49"/>
        <v>0</v>
      </c>
      <c r="J450" s="58">
        <f t="shared" si="49"/>
        <v>2019</v>
      </c>
      <c r="K450" s="58">
        <f t="shared" si="49"/>
        <v>0</v>
      </c>
      <c r="L450" s="58">
        <f t="shared" si="49"/>
        <v>9</v>
      </c>
      <c r="M450" s="58">
        <f t="shared" si="49"/>
        <v>0</v>
      </c>
      <c r="N450" s="22"/>
    </row>
    <row r="451" spans="1:14" s="41" customFormat="1" ht="21" customHeight="1">
      <c r="A451" s="50"/>
      <c r="B451" s="23"/>
      <c r="C451" s="58">
        <f>C454+C462+C466</f>
        <v>9311</v>
      </c>
      <c r="D451" s="58">
        <f t="shared" ref="D451:M451" si="50">D454+D462+D466</f>
        <v>23732</v>
      </c>
      <c r="E451" s="58">
        <f t="shared" si="50"/>
        <v>8634</v>
      </c>
      <c r="F451" s="58">
        <f t="shared" si="50"/>
        <v>15098</v>
      </c>
      <c r="G451" s="58">
        <f t="shared" si="50"/>
        <v>1632</v>
      </c>
      <c r="H451" s="58">
        <f t="shared" si="50"/>
        <v>0</v>
      </c>
      <c r="I451" s="58">
        <f t="shared" si="50"/>
        <v>0</v>
      </c>
      <c r="J451" s="58">
        <f t="shared" si="50"/>
        <v>1632</v>
      </c>
      <c r="K451" s="58">
        <f t="shared" si="50"/>
        <v>0</v>
      </c>
      <c r="L451" s="58">
        <f t="shared" si="50"/>
        <v>0</v>
      </c>
      <c r="M451" s="58">
        <f t="shared" si="50"/>
        <v>0</v>
      </c>
      <c r="N451" s="22"/>
    </row>
    <row r="452" spans="1:14" s="41" customFormat="1" ht="18.75" customHeight="1">
      <c r="A452" s="50"/>
      <c r="B452" s="23"/>
      <c r="C452" s="52"/>
      <c r="D452" s="52"/>
      <c r="E452" s="52"/>
      <c r="F452" s="52"/>
      <c r="G452" s="202"/>
      <c r="H452" s="202"/>
      <c r="I452" s="202"/>
      <c r="J452" s="202"/>
      <c r="K452" s="52"/>
      <c r="L452" s="202"/>
      <c r="M452" s="52"/>
      <c r="N452" s="22"/>
    </row>
    <row r="453" spans="1:14" s="41" customFormat="1" ht="18" customHeight="1">
      <c r="A453" s="50" t="s">
        <v>70</v>
      </c>
      <c r="B453" s="34" t="s">
        <v>43</v>
      </c>
      <c r="C453" s="56">
        <f>C457</f>
        <v>13029</v>
      </c>
      <c r="D453" s="56">
        <f t="shared" ref="D453:M453" si="51">D457</f>
        <v>29353</v>
      </c>
      <c r="E453" s="56">
        <f t="shared" si="51"/>
        <v>10503</v>
      </c>
      <c r="F453" s="56">
        <f t="shared" si="51"/>
        <v>18850</v>
      </c>
      <c r="G453" s="274">
        <f t="shared" si="51"/>
        <v>2019</v>
      </c>
      <c r="H453" s="56">
        <f t="shared" si="51"/>
        <v>0</v>
      </c>
      <c r="I453" s="56">
        <f t="shared" si="51"/>
        <v>0</v>
      </c>
      <c r="J453" s="56">
        <f t="shared" si="51"/>
        <v>2019</v>
      </c>
      <c r="K453" s="56">
        <f t="shared" si="51"/>
        <v>0</v>
      </c>
      <c r="L453" s="56">
        <f t="shared" si="51"/>
        <v>0</v>
      </c>
      <c r="M453" s="56">
        <f t="shared" si="51"/>
        <v>0</v>
      </c>
      <c r="N453" s="22"/>
    </row>
    <row r="454" spans="1:14" s="41" customFormat="1" ht="18" customHeight="1">
      <c r="A454" s="50"/>
      <c r="B454" s="35" t="s">
        <v>34</v>
      </c>
      <c r="C454" s="56">
        <f>C458</f>
        <v>9311</v>
      </c>
      <c r="D454" s="56">
        <f t="shared" ref="D454:M454" si="52">D458</f>
        <v>23732</v>
      </c>
      <c r="E454" s="56">
        <f t="shared" si="52"/>
        <v>8634</v>
      </c>
      <c r="F454" s="56">
        <f t="shared" si="52"/>
        <v>15098</v>
      </c>
      <c r="G454" s="274">
        <f t="shared" si="52"/>
        <v>1632</v>
      </c>
      <c r="H454" s="56">
        <f t="shared" si="52"/>
        <v>0</v>
      </c>
      <c r="I454" s="56">
        <f t="shared" si="52"/>
        <v>0</v>
      </c>
      <c r="J454" s="56">
        <f t="shared" si="52"/>
        <v>1632</v>
      </c>
      <c r="K454" s="56">
        <f t="shared" si="52"/>
        <v>0</v>
      </c>
      <c r="L454" s="56">
        <f t="shared" si="52"/>
        <v>0</v>
      </c>
      <c r="M454" s="56">
        <f t="shared" si="52"/>
        <v>0</v>
      </c>
      <c r="N454" s="22"/>
    </row>
    <row r="455" spans="1:14" s="41" customFormat="1" ht="17.25" customHeight="1">
      <c r="A455" s="50"/>
      <c r="B455" s="32" t="s">
        <v>159</v>
      </c>
      <c r="C455" s="52"/>
      <c r="D455" s="52"/>
      <c r="E455" s="52"/>
      <c r="F455" s="52"/>
      <c r="G455" s="202"/>
      <c r="H455" s="52"/>
      <c r="I455" s="52"/>
      <c r="J455" s="52"/>
      <c r="K455" s="52"/>
      <c r="L455" s="52"/>
      <c r="M455" s="52"/>
      <c r="N455" s="22"/>
    </row>
    <row r="456" spans="1:14" s="41" customFormat="1" ht="17.25" customHeight="1">
      <c r="A456" s="50"/>
      <c r="B456" s="32"/>
      <c r="C456" s="52"/>
      <c r="D456" s="52"/>
      <c r="E456" s="52"/>
      <c r="F456" s="52"/>
      <c r="G456" s="202"/>
      <c r="H456" s="52"/>
      <c r="I456" s="52"/>
      <c r="J456" s="52"/>
      <c r="K456" s="52"/>
      <c r="L456" s="52"/>
      <c r="M456" s="52"/>
      <c r="N456" s="22"/>
    </row>
    <row r="457" spans="1:14" s="41" customFormat="1" ht="26.25" customHeight="1">
      <c r="A457" s="53">
        <v>1</v>
      </c>
      <c r="B457" s="192" t="s">
        <v>188</v>
      </c>
      <c r="C457" s="2">
        <v>13029</v>
      </c>
      <c r="D457" s="2">
        <v>29353</v>
      </c>
      <c r="E457" s="2">
        <f>4+4262+6237</f>
        <v>10503</v>
      </c>
      <c r="F457" s="2">
        <f>D457-E457</f>
        <v>18850</v>
      </c>
      <c r="G457" s="58">
        <f>SUM(H457:M457)</f>
        <v>2019</v>
      </c>
      <c r="H457" s="2"/>
      <c r="I457" s="2"/>
      <c r="J457" s="2">
        <f>2019</f>
        <v>2019</v>
      </c>
      <c r="K457" s="2"/>
      <c r="L457" s="2">
        <v>0</v>
      </c>
      <c r="M457" s="42"/>
      <c r="N457" s="22" t="s">
        <v>153</v>
      </c>
    </row>
    <row r="458" spans="1:14" s="41" customFormat="1" ht="21" customHeight="1">
      <c r="A458" s="53"/>
      <c r="B458" s="162" t="s">
        <v>189</v>
      </c>
      <c r="C458" s="2">
        <v>9311</v>
      </c>
      <c r="D458" s="2">
        <v>23732</v>
      </c>
      <c r="E458" s="2">
        <f>4132+6191-1689</f>
        <v>8634</v>
      </c>
      <c r="F458" s="2">
        <f>D458-E458</f>
        <v>15098</v>
      </c>
      <c r="G458" s="58">
        <f>SUM(H458:M458)</f>
        <v>1632</v>
      </c>
      <c r="H458" s="2"/>
      <c r="I458" s="2"/>
      <c r="J458" s="2">
        <f>12672-9037-2003</f>
        <v>1632</v>
      </c>
      <c r="K458" s="2"/>
      <c r="L458" s="340">
        <v>0</v>
      </c>
      <c r="M458" s="42"/>
      <c r="N458" s="24"/>
    </row>
    <row r="459" spans="1:14" s="41" customFormat="1" ht="17.25" customHeight="1">
      <c r="A459" s="50"/>
      <c r="B459" s="32"/>
      <c r="C459" s="52"/>
      <c r="D459" s="52"/>
      <c r="E459" s="52"/>
      <c r="F459" s="52"/>
      <c r="G459" s="202"/>
      <c r="H459" s="52"/>
      <c r="I459" s="52"/>
      <c r="J459" s="52"/>
      <c r="K459" s="52"/>
      <c r="L459" s="52"/>
      <c r="M459" s="52"/>
      <c r="N459" s="22"/>
    </row>
    <row r="460" spans="1:14" s="41" customFormat="1" ht="11.25" customHeight="1">
      <c r="A460" s="50"/>
      <c r="B460" s="140"/>
      <c r="C460" s="1"/>
      <c r="D460" s="1"/>
      <c r="E460" s="1"/>
      <c r="F460" s="1"/>
      <c r="G460" s="202"/>
      <c r="H460" s="1"/>
      <c r="I460" s="1"/>
      <c r="J460" s="1"/>
      <c r="K460" s="1"/>
      <c r="L460" s="1"/>
      <c r="M460" s="14"/>
      <c r="N460" s="22"/>
    </row>
    <row r="461" spans="1:14" s="41" customFormat="1" ht="18" customHeight="1">
      <c r="A461" s="8" t="s">
        <v>35</v>
      </c>
      <c r="B461" s="34" t="s">
        <v>43</v>
      </c>
      <c r="C461" s="51">
        <v>0</v>
      </c>
      <c r="D461" s="51">
        <v>0</v>
      </c>
      <c r="E461" s="51">
        <v>0</v>
      </c>
      <c r="F461" s="51">
        <v>0</v>
      </c>
      <c r="G461" s="51">
        <v>0</v>
      </c>
      <c r="H461" s="51">
        <v>0</v>
      </c>
      <c r="I461" s="51">
        <v>0</v>
      </c>
      <c r="J461" s="51">
        <v>0</v>
      </c>
      <c r="K461" s="51">
        <v>0</v>
      </c>
      <c r="L461" s="51">
        <v>0</v>
      </c>
      <c r="M461" s="51">
        <v>0</v>
      </c>
      <c r="N461" s="22"/>
    </row>
    <row r="462" spans="1:14" s="41" customFormat="1" ht="18" customHeight="1">
      <c r="A462" s="50"/>
      <c r="B462" s="35" t="s">
        <v>36</v>
      </c>
      <c r="C462" s="51">
        <v>0</v>
      </c>
      <c r="D462" s="51">
        <v>0</v>
      </c>
      <c r="E462" s="51">
        <v>0</v>
      </c>
      <c r="F462" s="51">
        <v>0</v>
      </c>
      <c r="G462" s="51">
        <v>0</v>
      </c>
      <c r="H462" s="51">
        <v>0</v>
      </c>
      <c r="I462" s="51">
        <v>0</v>
      </c>
      <c r="J462" s="51">
        <v>0</v>
      </c>
      <c r="K462" s="51">
        <v>0</v>
      </c>
      <c r="L462" s="51">
        <v>0</v>
      </c>
      <c r="M462" s="51">
        <v>0</v>
      </c>
      <c r="N462" s="22"/>
    </row>
    <row r="463" spans="1:14" s="41" customFormat="1" ht="12.75" customHeight="1">
      <c r="A463" s="50"/>
      <c r="B463" s="32"/>
      <c r="C463" s="52"/>
      <c r="D463" s="52"/>
      <c r="E463" s="52"/>
      <c r="F463" s="52"/>
      <c r="G463" s="202"/>
      <c r="H463" s="52"/>
      <c r="I463" s="52"/>
      <c r="J463" s="52"/>
      <c r="K463" s="52"/>
      <c r="L463" s="52"/>
      <c r="M463" s="52"/>
      <c r="N463" s="22"/>
    </row>
    <row r="464" spans="1:14" s="41" customFormat="1" ht="14.25" customHeight="1">
      <c r="A464" s="50"/>
      <c r="B464" s="32"/>
      <c r="C464" s="52"/>
      <c r="D464" s="52"/>
      <c r="E464" s="52"/>
      <c r="F464" s="52"/>
      <c r="G464" s="202"/>
      <c r="H464" s="52"/>
      <c r="I464" s="52"/>
      <c r="J464" s="52"/>
      <c r="K464" s="52"/>
      <c r="L464" s="52"/>
      <c r="M464" s="52"/>
      <c r="N464" s="22"/>
    </row>
    <row r="465" spans="1:14" s="41" customFormat="1" ht="18" customHeight="1">
      <c r="A465" s="50" t="s">
        <v>37</v>
      </c>
      <c r="B465" s="34" t="s">
        <v>60</v>
      </c>
      <c r="C465" s="56">
        <f>C468+C469</f>
        <v>9</v>
      </c>
      <c r="D465" s="56">
        <f t="shared" ref="D465:M465" si="53">D468+D469</f>
        <v>9</v>
      </c>
      <c r="E465" s="56">
        <f t="shared" si="53"/>
        <v>0</v>
      </c>
      <c r="F465" s="56">
        <f t="shared" si="53"/>
        <v>9</v>
      </c>
      <c r="G465" s="274">
        <f t="shared" si="53"/>
        <v>9</v>
      </c>
      <c r="H465" s="56">
        <f t="shared" si="53"/>
        <v>0</v>
      </c>
      <c r="I465" s="56">
        <f t="shared" si="53"/>
        <v>0</v>
      </c>
      <c r="J465" s="56">
        <f t="shared" si="53"/>
        <v>0</v>
      </c>
      <c r="K465" s="56">
        <f t="shared" si="53"/>
        <v>0</v>
      </c>
      <c r="L465" s="56">
        <f t="shared" si="53"/>
        <v>9</v>
      </c>
      <c r="M465" s="56">
        <f t="shared" si="53"/>
        <v>0</v>
      </c>
      <c r="N465" s="22"/>
    </row>
    <row r="466" spans="1:14" s="41" customFormat="1" ht="18" customHeight="1">
      <c r="A466" s="50"/>
      <c r="B466" s="35" t="s">
        <v>61</v>
      </c>
      <c r="C466" s="52"/>
      <c r="D466" s="52"/>
      <c r="E466" s="52"/>
      <c r="F466" s="52"/>
      <c r="G466" s="202"/>
      <c r="H466" s="52"/>
      <c r="I466" s="52"/>
      <c r="J466" s="52"/>
      <c r="K466" s="52"/>
      <c r="L466" s="52"/>
      <c r="M466" s="52"/>
      <c r="N466" s="54"/>
    </row>
    <row r="467" spans="1:14" s="41" customFormat="1" ht="18" customHeight="1">
      <c r="A467" s="50"/>
      <c r="B467" s="16" t="s">
        <v>42</v>
      </c>
      <c r="C467" s="52"/>
      <c r="D467" s="52"/>
      <c r="E467" s="52"/>
      <c r="F467" s="52"/>
      <c r="G467" s="202"/>
      <c r="H467" s="52"/>
      <c r="I467" s="52"/>
      <c r="J467" s="52"/>
      <c r="K467" s="52"/>
      <c r="L467" s="52"/>
      <c r="M467" s="52"/>
      <c r="N467" s="55"/>
    </row>
    <row r="468" spans="1:14" s="41" customFormat="1" ht="18" customHeight="1">
      <c r="A468" s="50"/>
      <c r="B468" s="23" t="s">
        <v>62</v>
      </c>
      <c r="C468" s="52">
        <f>'A3 - STUDII SI PROIECTE 2024'!D200</f>
        <v>9</v>
      </c>
      <c r="D468" s="52">
        <f>'A3 - STUDII SI PROIECTE 2024'!E200</f>
        <v>9</v>
      </c>
      <c r="E468" s="52">
        <f>'A3 - STUDII SI PROIECTE 2024'!F200</f>
        <v>0</v>
      </c>
      <c r="F468" s="52">
        <f>'A3 - STUDII SI PROIECTE 2024'!G200</f>
        <v>9</v>
      </c>
      <c r="G468" s="202">
        <f>'A3 - STUDII SI PROIECTE 2024'!H200</f>
        <v>9</v>
      </c>
      <c r="H468" s="52">
        <f>'A3 - STUDII SI PROIECTE 2024'!I200</f>
        <v>0</v>
      </c>
      <c r="I468" s="52">
        <f>'A3 - STUDII SI PROIECTE 2024'!J200</f>
        <v>0</v>
      </c>
      <c r="J468" s="52">
        <f>'A3 - STUDII SI PROIECTE 2024'!K200</f>
        <v>0</v>
      </c>
      <c r="K468" s="52">
        <f>'A3 - STUDII SI PROIECTE 2024'!L200</f>
        <v>0</v>
      </c>
      <c r="L468" s="52">
        <f>'A3 - STUDII SI PROIECTE 2024'!M200</f>
        <v>9</v>
      </c>
      <c r="M468" s="52">
        <f>'A3 - STUDII SI PROIECTE 2024'!N200</f>
        <v>0</v>
      </c>
      <c r="N468" s="55"/>
    </row>
    <row r="469" spans="1:14" s="41" customFormat="1" ht="18" customHeight="1">
      <c r="A469" s="43"/>
      <c r="B469" s="23" t="s">
        <v>155</v>
      </c>
      <c r="C469" s="1">
        <f>0</f>
        <v>0</v>
      </c>
      <c r="D469" s="1">
        <f>0</f>
        <v>0</v>
      </c>
      <c r="E469" s="1">
        <f>0</f>
        <v>0</v>
      </c>
      <c r="F469" s="1">
        <f>0</f>
        <v>0</v>
      </c>
      <c r="G469" s="46">
        <f>0</f>
        <v>0</v>
      </c>
      <c r="H469" s="1">
        <f>0</f>
        <v>0</v>
      </c>
      <c r="I469" s="1">
        <f>0</f>
        <v>0</v>
      </c>
      <c r="J469" s="1">
        <f>0</f>
        <v>0</v>
      </c>
      <c r="K469" s="1">
        <f>0</f>
        <v>0</v>
      </c>
      <c r="L469" s="1">
        <f>0</f>
        <v>0</v>
      </c>
      <c r="M469" s="1">
        <f>0</f>
        <v>0</v>
      </c>
      <c r="N469" s="55"/>
    </row>
    <row r="470" spans="1:14" s="41" customFormat="1" ht="21.75" customHeight="1">
      <c r="A470" s="43"/>
      <c r="B470" s="23"/>
      <c r="C470" s="1"/>
      <c r="D470" s="1"/>
      <c r="E470" s="1"/>
      <c r="F470" s="1"/>
      <c r="G470" s="46"/>
      <c r="H470" s="1"/>
      <c r="I470" s="1"/>
      <c r="J470" s="1"/>
      <c r="K470" s="1"/>
      <c r="L470" s="1"/>
      <c r="M470" s="1"/>
      <c r="N470" s="55"/>
    </row>
    <row r="471" spans="1:14" s="41" customFormat="1" ht="35.25" customHeight="1">
      <c r="A471" s="277"/>
      <c r="B471" s="138" t="s">
        <v>190</v>
      </c>
      <c r="C471" s="9" t="s">
        <v>191</v>
      </c>
      <c r="D471" s="9"/>
      <c r="E471" s="9"/>
      <c r="F471" s="9"/>
      <c r="G471" s="9"/>
      <c r="H471" s="9"/>
      <c r="I471" s="9"/>
      <c r="J471" s="9"/>
      <c r="K471" s="9"/>
      <c r="L471" s="104"/>
      <c r="M471" s="9" t="s">
        <v>41</v>
      </c>
      <c r="N471" s="22"/>
    </row>
    <row r="472" spans="1:14" s="41" customFormat="1" ht="22.5" customHeight="1">
      <c r="A472" s="50"/>
      <c r="B472" s="16" t="s">
        <v>42</v>
      </c>
      <c r="C472" s="58">
        <f>C475+C492+C503</f>
        <v>1193097</v>
      </c>
      <c r="D472" s="58">
        <f t="shared" ref="D472:M472" si="54">D475+D492+D503</f>
        <v>1283127</v>
      </c>
      <c r="E472" s="58">
        <f t="shared" si="54"/>
        <v>262130</v>
      </c>
      <c r="F472" s="58">
        <f t="shared" si="54"/>
        <v>1020997</v>
      </c>
      <c r="G472" s="58">
        <f t="shared" si="54"/>
        <v>402747</v>
      </c>
      <c r="H472" s="58">
        <f t="shared" si="54"/>
        <v>305830</v>
      </c>
      <c r="I472" s="58">
        <f t="shared" si="54"/>
        <v>0</v>
      </c>
      <c r="J472" s="58">
        <f t="shared" si="54"/>
        <v>33335</v>
      </c>
      <c r="K472" s="58">
        <f t="shared" si="54"/>
        <v>0</v>
      </c>
      <c r="L472" s="58">
        <f t="shared" si="54"/>
        <v>18830</v>
      </c>
      <c r="M472" s="58">
        <f t="shared" si="54"/>
        <v>44752</v>
      </c>
      <c r="N472" s="22"/>
    </row>
    <row r="473" spans="1:14" s="41" customFormat="1" ht="22.5" customHeight="1">
      <c r="A473" s="50"/>
      <c r="B473" s="23"/>
      <c r="C473" s="58">
        <f>C476+C493+C504</f>
        <v>627474</v>
      </c>
      <c r="D473" s="58">
        <f t="shared" ref="D473:M473" si="55">D476+D493+D504</f>
        <v>674780</v>
      </c>
      <c r="E473" s="58">
        <f t="shared" si="55"/>
        <v>260251</v>
      </c>
      <c r="F473" s="58">
        <f t="shared" si="55"/>
        <v>414529</v>
      </c>
      <c r="G473" s="58">
        <f t="shared" si="55"/>
        <v>179713.45224452048</v>
      </c>
      <c r="H473" s="58">
        <f t="shared" si="55"/>
        <v>93867.558222801323</v>
      </c>
      <c r="I473" s="58">
        <f t="shared" si="55"/>
        <v>0</v>
      </c>
      <c r="J473" s="58">
        <f t="shared" si="55"/>
        <v>29297.894021719167</v>
      </c>
      <c r="K473" s="58">
        <f t="shared" si="55"/>
        <v>0</v>
      </c>
      <c r="L473" s="58">
        <f t="shared" si="55"/>
        <v>12178</v>
      </c>
      <c r="M473" s="58">
        <f t="shared" si="55"/>
        <v>44370</v>
      </c>
      <c r="N473" s="22"/>
    </row>
    <row r="474" spans="1:14" s="41" customFormat="1" ht="24.75" customHeight="1">
      <c r="A474" s="50"/>
      <c r="B474" s="23"/>
      <c r="C474" s="52"/>
      <c r="D474" s="52"/>
      <c r="E474" s="52"/>
      <c r="F474" s="52"/>
      <c r="G474" s="202"/>
      <c r="H474" s="202"/>
      <c r="I474" s="202"/>
      <c r="J474" s="202"/>
      <c r="K474" s="202"/>
      <c r="L474" s="202"/>
      <c r="M474" s="202"/>
      <c r="N474" s="22"/>
    </row>
    <row r="475" spans="1:14" s="41" customFormat="1" ht="22.5" customHeight="1">
      <c r="A475" s="50" t="s">
        <v>70</v>
      </c>
      <c r="B475" s="34" t="s">
        <v>43</v>
      </c>
      <c r="C475" s="274">
        <f>C479+C483+C487</f>
        <v>301739</v>
      </c>
      <c r="D475" s="274">
        <f t="shared" ref="D475:M475" si="56">D479+D483+D487</f>
        <v>391769</v>
      </c>
      <c r="E475" s="274">
        <f t="shared" si="56"/>
        <v>261964</v>
      </c>
      <c r="F475" s="274">
        <f t="shared" si="56"/>
        <v>129805</v>
      </c>
      <c r="G475" s="274">
        <f t="shared" si="56"/>
        <v>34860</v>
      </c>
      <c r="H475" s="274">
        <f t="shared" si="56"/>
        <v>0</v>
      </c>
      <c r="I475" s="274">
        <f t="shared" si="56"/>
        <v>0</v>
      </c>
      <c r="J475" s="274">
        <f t="shared" si="56"/>
        <v>33310</v>
      </c>
      <c r="K475" s="274">
        <f t="shared" si="56"/>
        <v>0</v>
      </c>
      <c r="L475" s="274">
        <f t="shared" si="56"/>
        <v>1550</v>
      </c>
      <c r="M475" s="274">
        <f t="shared" si="56"/>
        <v>0</v>
      </c>
      <c r="N475" s="22"/>
    </row>
    <row r="476" spans="1:14" s="41" customFormat="1" ht="22.5" customHeight="1">
      <c r="A476" s="50"/>
      <c r="B476" s="35" t="s">
        <v>34</v>
      </c>
      <c r="C476" s="274">
        <f>C480+C484+C488</f>
        <v>265566</v>
      </c>
      <c r="D476" s="274">
        <f t="shared" ref="D476:M476" si="57">D480+D484+D488</f>
        <v>312872</v>
      </c>
      <c r="E476" s="274">
        <f t="shared" si="57"/>
        <v>260251</v>
      </c>
      <c r="F476" s="274">
        <f t="shared" si="57"/>
        <v>52621</v>
      </c>
      <c r="G476" s="274">
        <f t="shared" si="57"/>
        <v>30834.894021719167</v>
      </c>
      <c r="H476" s="274">
        <f t="shared" si="57"/>
        <v>0</v>
      </c>
      <c r="I476" s="274">
        <f t="shared" si="57"/>
        <v>0</v>
      </c>
      <c r="J476" s="274">
        <f t="shared" si="57"/>
        <v>29297.894021719167</v>
      </c>
      <c r="K476" s="274">
        <f t="shared" si="57"/>
        <v>0</v>
      </c>
      <c r="L476" s="274">
        <f t="shared" si="57"/>
        <v>1537</v>
      </c>
      <c r="M476" s="274">
        <f t="shared" si="57"/>
        <v>0</v>
      </c>
      <c r="N476" s="22"/>
    </row>
    <row r="477" spans="1:14" s="41" customFormat="1" ht="22.5" customHeight="1">
      <c r="A477" s="50"/>
      <c r="B477" s="32" t="s">
        <v>159</v>
      </c>
      <c r="C477" s="52"/>
      <c r="D477" s="52"/>
      <c r="E477" s="52"/>
      <c r="F477" s="52"/>
      <c r="G477" s="202"/>
      <c r="H477" s="52"/>
      <c r="I477" s="52"/>
      <c r="J477" s="52"/>
      <c r="K477" s="52"/>
      <c r="L477" s="52"/>
      <c r="M477" s="52"/>
      <c r="N477" s="22"/>
    </row>
    <row r="478" spans="1:14" s="41" customFormat="1" ht="13.5" customHeight="1">
      <c r="A478" s="50"/>
      <c r="B478" s="32"/>
      <c r="C478" s="52"/>
      <c r="D478" s="52"/>
      <c r="E478" s="52"/>
      <c r="F478" s="52"/>
      <c r="G478" s="202"/>
      <c r="H478" s="52"/>
      <c r="I478" s="52"/>
      <c r="J478" s="52"/>
      <c r="K478" s="52"/>
      <c r="L478" s="52"/>
      <c r="M478" s="52"/>
      <c r="N478" s="22"/>
    </row>
    <row r="479" spans="1:14" s="41" customFormat="1" ht="71.25">
      <c r="A479" s="50">
        <v>1</v>
      </c>
      <c r="B479" s="192" t="s">
        <v>192</v>
      </c>
      <c r="C479" s="51">
        <v>115406</v>
      </c>
      <c r="D479" s="51">
        <f>C479+6089+2100+15823</f>
        <v>139418</v>
      </c>
      <c r="E479" s="51">
        <f>77746+46928</f>
        <v>124674</v>
      </c>
      <c r="F479" s="2">
        <f>D479-E479</f>
        <v>14744</v>
      </c>
      <c r="G479" s="58">
        <f>SUM(H479:M479)</f>
        <v>1550</v>
      </c>
      <c r="H479" s="51"/>
      <c r="I479" s="51"/>
      <c r="J479" s="51">
        <v>0</v>
      </c>
      <c r="K479" s="51"/>
      <c r="L479" s="51">
        <v>1550</v>
      </c>
      <c r="M479" s="51"/>
      <c r="N479" s="22" t="s">
        <v>153</v>
      </c>
    </row>
    <row r="480" spans="1:14" s="41" customFormat="1" ht="25.5" customHeight="1">
      <c r="A480" s="50"/>
      <c r="B480" s="13" t="s">
        <v>193</v>
      </c>
      <c r="C480" s="51">
        <v>101718</v>
      </c>
      <c r="D480" s="51">
        <f>C480+10346+8000+2100+15823</f>
        <v>137987</v>
      </c>
      <c r="E480" s="51">
        <f>77064+46574</f>
        <v>123638</v>
      </c>
      <c r="F480" s="2">
        <f>D480-E480</f>
        <v>14349</v>
      </c>
      <c r="G480" s="58">
        <f>SUM(H480:M480)</f>
        <v>1537</v>
      </c>
      <c r="H480" s="51"/>
      <c r="I480" s="51"/>
      <c r="J480" s="51">
        <v>0</v>
      </c>
      <c r="K480" s="51"/>
      <c r="L480" s="51">
        <v>1537</v>
      </c>
      <c r="M480" s="51"/>
      <c r="N480" s="22"/>
    </row>
    <row r="481" spans="1:14" s="41" customFormat="1" ht="25.5" customHeight="1">
      <c r="A481" s="50"/>
      <c r="B481" s="13"/>
      <c r="C481" s="52"/>
      <c r="D481" s="52"/>
      <c r="E481" s="52"/>
      <c r="F481" s="1"/>
      <c r="G481" s="202"/>
      <c r="H481" s="52"/>
      <c r="I481" s="52"/>
      <c r="J481" s="52"/>
      <c r="K481" s="52"/>
      <c r="L481" s="52"/>
      <c r="M481" s="52"/>
      <c r="N481" s="22"/>
    </row>
    <row r="482" spans="1:14" s="41" customFormat="1" ht="25.5" customHeight="1">
      <c r="A482" s="50"/>
      <c r="B482" s="13"/>
      <c r="C482" s="52"/>
      <c r="D482" s="52"/>
      <c r="E482" s="52"/>
      <c r="F482" s="1"/>
      <c r="G482" s="202"/>
      <c r="H482" s="52"/>
      <c r="I482" s="52"/>
      <c r="J482" s="52"/>
      <c r="K482" s="52"/>
      <c r="L482" s="52"/>
      <c r="M482" s="52"/>
      <c r="N482" s="22"/>
    </row>
    <row r="483" spans="1:14" s="41" customFormat="1" ht="71.25">
      <c r="A483" s="50">
        <v>2</v>
      </c>
      <c r="B483" s="192" t="s">
        <v>194</v>
      </c>
      <c r="C483" s="51">
        <v>116137</v>
      </c>
      <c r="D483" s="51">
        <v>182155</v>
      </c>
      <c r="E483" s="51">
        <v>93947</v>
      </c>
      <c r="F483" s="2">
        <f>D483-E483</f>
        <v>88208</v>
      </c>
      <c r="G483" s="58">
        <f>SUM(H483:M483)</f>
        <v>22207</v>
      </c>
      <c r="H483" s="51"/>
      <c r="I483" s="51"/>
      <c r="J483" s="51">
        <f>3607+18600</f>
        <v>22207</v>
      </c>
      <c r="K483" s="51"/>
      <c r="L483" s="51"/>
      <c r="M483" s="51"/>
      <c r="N483" s="22" t="s">
        <v>153</v>
      </c>
    </row>
    <row r="484" spans="1:14" s="41" customFormat="1" ht="25.5" customHeight="1">
      <c r="A484" s="50"/>
      <c r="B484" s="13" t="s">
        <v>195</v>
      </c>
      <c r="C484" s="51">
        <v>102348</v>
      </c>
      <c r="D484" s="51">
        <f>C484+5439+3000+2198</f>
        <v>112985</v>
      </c>
      <c r="E484" s="51">
        <v>93415</v>
      </c>
      <c r="F484" s="2">
        <f>D484-E484</f>
        <v>19570</v>
      </c>
      <c r="G484" s="58">
        <f>SUM(H484:M484)</f>
        <v>19570.352566365586</v>
      </c>
      <c r="H484" s="51"/>
      <c r="I484" s="51"/>
      <c r="J484" s="51">
        <f>(C484/C483)*J483</f>
        <v>19570.352566365586</v>
      </c>
      <c r="K484" s="51"/>
      <c r="L484" s="51"/>
      <c r="M484" s="51"/>
      <c r="N484" s="22"/>
    </row>
    <row r="485" spans="1:14" s="41" customFormat="1" ht="25.5" customHeight="1">
      <c r="A485" s="50"/>
      <c r="B485" s="13"/>
      <c r="C485" s="52"/>
      <c r="D485" s="52"/>
      <c r="E485" s="52"/>
      <c r="F485" s="1"/>
      <c r="G485" s="202"/>
      <c r="H485" s="52"/>
      <c r="I485" s="52"/>
      <c r="J485" s="52"/>
      <c r="K485" s="52"/>
      <c r="L485" s="52"/>
      <c r="M485" s="52"/>
      <c r="N485" s="22"/>
    </row>
    <row r="486" spans="1:14" s="41" customFormat="1" ht="25.5" customHeight="1">
      <c r="A486" s="50"/>
      <c r="B486" s="13"/>
      <c r="C486" s="52"/>
      <c r="D486" s="52"/>
      <c r="E486" s="52"/>
      <c r="F486" s="1"/>
      <c r="G486" s="202"/>
      <c r="H486" s="52"/>
      <c r="I486" s="52"/>
      <c r="J486" s="52"/>
      <c r="K486" s="52"/>
      <c r="L486" s="52"/>
      <c r="M486" s="52"/>
      <c r="N486" s="22"/>
    </row>
    <row r="487" spans="1:14" s="41" customFormat="1" ht="71.25">
      <c r="A487" s="50">
        <v>3</v>
      </c>
      <c r="B487" s="192" t="s">
        <v>196</v>
      </c>
      <c r="C487" s="51">
        <v>70196</v>
      </c>
      <c r="D487" s="51">
        <f>C487</f>
        <v>70196</v>
      </c>
      <c r="E487" s="51">
        <v>43343</v>
      </c>
      <c r="F487" s="2">
        <f>D487-E487</f>
        <v>26853</v>
      </c>
      <c r="G487" s="58">
        <f>SUM(H487:M487)</f>
        <v>11103</v>
      </c>
      <c r="H487" s="51"/>
      <c r="I487" s="51"/>
      <c r="J487" s="51">
        <f>1803+9300</f>
        <v>11103</v>
      </c>
      <c r="K487" s="51"/>
      <c r="L487" s="51">
        <v>0</v>
      </c>
      <c r="M487" s="51"/>
      <c r="N487" s="22" t="s">
        <v>153</v>
      </c>
    </row>
    <row r="488" spans="1:14" s="41" customFormat="1" ht="25.5" customHeight="1">
      <c r="A488" s="50"/>
      <c r="B488" s="13" t="s">
        <v>197</v>
      </c>
      <c r="C488" s="51">
        <v>61500</v>
      </c>
      <c r="D488" s="51">
        <f>C488+400</f>
        <v>61900</v>
      </c>
      <c r="E488" s="51">
        <v>43198</v>
      </c>
      <c r="F488" s="2">
        <f>D488-E488</f>
        <v>18702</v>
      </c>
      <c r="G488" s="58">
        <f>SUM(H488:M488)</f>
        <v>9727.5414553535811</v>
      </c>
      <c r="H488" s="51"/>
      <c r="I488" s="51"/>
      <c r="J488" s="51">
        <f>(C488/C487)*J487</f>
        <v>9727.5414553535811</v>
      </c>
      <c r="K488" s="51"/>
      <c r="L488" s="51">
        <v>0</v>
      </c>
      <c r="M488" s="51"/>
      <c r="N488" s="22"/>
    </row>
    <row r="489" spans="1:14" s="41" customFormat="1" ht="25.5" customHeight="1">
      <c r="A489" s="50"/>
      <c r="B489" s="13"/>
      <c r="C489" s="52"/>
      <c r="D489" s="52"/>
      <c r="E489" s="52"/>
      <c r="F489" s="1"/>
      <c r="G489" s="202"/>
      <c r="H489" s="52"/>
      <c r="I489" s="52"/>
      <c r="J489" s="52"/>
      <c r="K489" s="52"/>
      <c r="L489" s="52"/>
      <c r="M489" s="52"/>
      <c r="N489" s="22"/>
    </row>
    <row r="490" spans="1:14" s="41" customFormat="1" ht="12" customHeight="1">
      <c r="A490" s="50"/>
      <c r="B490" s="140"/>
      <c r="C490" s="1"/>
      <c r="D490" s="1"/>
      <c r="E490" s="1"/>
      <c r="F490" s="1"/>
      <c r="G490" s="202"/>
      <c r="H490" s="1"/>
      <c r="I490" s="1"/>
      <c r="J490" s="1"/>
      <c r="K490" s="1"/>
      <c r="L490" s="1"/>
      <c r="M490" s="14"/>
      <c r="N490" s="22"/>
    </row>
    <row r="491" spans="1:14" s="41" customFormat="1" ht="12" customHeight="1">
      <c r="A491" s="50"/>
      <c r="B491" s="140"/>
      <c r="C491" s="1"/>
      <c r="D491" s="1"/>
      <c r="E491" s="1"/>
      <c r="F491" s="1"/>
      <c r="G491" s="202"/>
      <c r="H491" s="1"/>
      <c r="I491" s="1"/>
      <c r="J491" s="1"/>
      <c r="K491" s="1"/>
      <c r="L491" s="1"/>
      <c r="M491" s="14"/>
      <c r="N491" s="22"/>
    </row>
    <row r="492" spans="1:14" s="41" customFormat="1" ht="22.5" customHeight="1">
      <c r="A492" s="8" t="s">
        <v>35</v>
      </c>
      <c r="B492" s="34" t="s">
        <v>43</v>
      </c>
      <c r="C492" s="58">
        <f>C495+C499</f>
        <v>889265</v>
      </c>
      <c r="D492" s="58">
        <f t="shared" ref="D492:M492" si="58">D495+D499</f>
        <v>889265</v>
      </c>
      <c r="E492" s="58">
        <f t="shared" si="58"/>
        <v>0</v>
      </c>
      <c r="F492" s="58">
        <f t="shared" si="58"/>
        <v>889265</v>
      </c>
      <c r="G492" s="58">
        <f t="shared" si="58"/>
        <v>365960</v>
      </c>
      <c r="H492" s="58">
        <f t="shared" si="58"/>
        <v>305830</v>
      </c>
      <c r="I492" s="58">
        <f t="shared" si="58"/>
        <v>0</v>
      </c>
      <c r="J492" s="58">
        <f t="shared" si="58"/>
        <v>0</v>
      </c>
      <c r="K492" s="58">
        <f t="shared" si="58"/>
        <v>0</v>
      </c>
      <c r="L492" s="58">
        <f t="shared" si="58"/>
        <v>15385</v>
      </c>
      <c r="M492" s="58">
        <f t="shared" si="58"/>
        <v>44745</v>
      </c>
      <c r="N492" s="22"/>
    </row>
    <row r="493" spans="1:14" s="41" customFormat="1" ht="22.5" customHeight="1">
      <c r="A493" s="50"/>
      <c r="B493" s="35" t="s">
        <v>36</v>
      </c>
      <c r="C493" s="274">
        <f>C496+C500</f>
        <v>361908</v>
      </c>
      <c r="D493" s="274">
        <f t="shared" ref="D493:M493" si="59">D496+D500</f>
        <v>361908</v>
      </c>
      <c r="E493" s="274">
        <f t="shared" si="59"/>
        <v>0</v>
      </c>
      <c r="F493" s="274">
        <f t="shared" si="59"/>
        <v>361908</v>
      </c>
      <c r="G493" s="274">
        <f t="shared" si="59"/>
        <v>148878.55822280131</v>
      </c>
      <c r="H493" s="274">
        <f t="shared" si="59"/>
        <v>93867.558222801323</v>
      </c>
      <c r="I493" s="274">
        <f t="shared" si="59"/>
        <v>0</v>
      </c>
      <c r="J493" s="274">
        <f t="shared" si="59"/>
        <v>0</v>
      </c>
      <c r="K493" s="274">
        <f t="shared" si="59"/>
        <v>0</v>
      </c>
      <c r="L493" s="274">
        <f t="shared" si="59"/>
        <v>10641</v>
      </c>
      <c r="M493" s="274">
        <f t="shared" si="59"/>
        <v>44370</v>
      </c>
      <c r="N493" s="22"/>
    </row>
    <row r="494" spans="1:14" s="41" customFormat="1" ht="12.75" customHeight="1">
      <c r="A494" s="50"/>
      <c r="B494" s="13"/>
      <c r="C494" s="52"/>
      <c r="D494" s="52"/>
      <c r="E494" s="52"/>
      <c r="F494" s="52"/>
      <c r="G494" s="202"/>
      <c r="H494" s="52"/>
      <c r="I494" s="52"/>
      <c r="J494" s="52"/>
      <c r="K494" s="52"/>
      <c r="L494" s="52"/>
      <c r="M494" s="52"/>
      <c r="N494" s="22"/>
    </row>
    <row r="495" spans="1:14" s="41" customFormat="1" ht="61.5" customHeight="1">
      <c r="A495" s="50">
        <v>1</v>
      </c>
      <c r="B495" s="192" t="s">
        <v>198</v>
      </c>
      <c r="C495" s="51">
        <v>146343</v>
      </c>
      <c r="D495" s="51">
        <f>C495</f>
        <v>146343</v>
      </c>
      <c r="E495" s="51">
        <v>0</v>
      </c>
      <c r="F495" s="2">
        <f>D495-E495</f>
        <v>146343</v>
      </c>
      <c r="G495" s="58">
        <f>SUM(H495:M495)</f>
        <v>60130</v>
      </c>
      <c r="H495" s="51"/>
      <c r="I495" s="51"/>
      <c r="J495" s="51"/>
      <c r="K495" s="51"/>
      <c r="L495" s="51">
        <f>7830+7930-375</f>
        <v>15385</v>
      </c>
      <c r="M495" s="51">
        <f>44370+375</f>
        <v>44745</v>
      </c>
      <c r="N495" s="22" t="s">
        <v>153</v>
      </c>
    </row>
    <row r="496" spans="1:14" s="41" customFormat="1" ht="28.5">
      <c r="A496" s="50"/>
      <c r="B496" s="192" t="s">
        <v>199</v>
      </c>
      <c r="C496" s="51">
        <v>133885</v>
      </c>
      <c r="D496" s="51">
        <f>C496</f>
        <v>133885</v>
      </c>
      <c r="E496" s="51">
        <v>0</v>
      </c>
      <c r="F496" s="2">
        <f>D496-E496</f>
        <v>133885</v>
      </c>
      <c r="G496" s="58">
        <f>SUM(H496:M496)</f>
        <v>55011</v>
      </c>
      <c r="H496" s="51"/>
      <c r="I496" s="51"/>
      <c r="J496" s="51"/>
      <c r="K496" s="51"/>
      <c r="L496" s="51">
        <v>10641</v>
      </c>
      <c r="M496" s="51">
        <v>44370</v>
      </c>
      <c r="N496" s="22"/>
    </row>
    <row r="497" spans="1:14" s="41" customFormat="1" ht="12.75" customHeight="1">
      <c r="A497" s="50"/>
      <c r="B497" s="192"/>
      <c r="C497" s="52"/>
      <c r="D497" s="52"/>
      <c r="E497" s="52"/>
      <c r="F497" s="1"/>
      <c r="G497" s="202"/>
      <c r="H497" s="52"/>
      <c r="I497" s="52"/>
      <c r="J497" s="52"/>
      <c r="K497" s="52"/>
      <c r="L497" s="52"/>
      <c r="M497" s="52"/>
      <c r="N497" s="22"/>
    </row>
    <row r="498" spans="1:14" s="41" customFormat="1" ht="12.75" customHeight="1">
      <c r="A498" s="50"/>
      <c r="B498" s="192"/>
      <c r="C498" s="52"/>
      <c r="D498" s="52"/>
      <c r="E498" s="52"/>
      <c r="F498" s="1"/>
      <c r="G498" s="202"/>
      <c r="H498" s="52"/>
      <c r="I498" s="52"/>
      <c r="J498" s="52"/>
      <c r="K498" s="52"/>
      <c r="L498" s="52"/>
      <c r="M498" s="52"/>
      <c r="N498" s="22"/>
    </row>
    <row r="499" spans="1:14" s="41" customFormat="1" ht="71.25">
      <c r="A499" s="50">
        <v>2</v>
      </c>
      <c r="B499" s="192" t="s">
        <v>200</v>
      </c>
      <c r="C499" s="51">
        <v>742922</v>
      </c>
      <c r="D499" s="51">
        <f>C499</f>
        <v>742922</v>
      </c>
      <c r="E499" s="51">
        <v>0</v>
      </c>
      <c r="F499" s="2">
        <f>D499-E499</f>
        <v>742922</v>
      </c>
      <c r="G499" s="58">
        <f>SUM(H499:M499)</f>
        <v>305830</v>
      </c>
      <c r="H499" s="51">
        <v>305830</v>
      </c>
      <c r="I499" s="51"/>
      <c r="J499" s="51"/>
      <c r="K499" s="51"/>
      <c r="L499" s="51"/>
      <c r="M499" s="51"/>
      <c r="N499" s="22" t="s">
        <v>153</v>
      </c>
    </row>
    <row r="500" spans="1:14" s="41" customFormat="1" ht="21" customHeight="1">
      <c r="A500" s="50"/>
      <c r="B500" s="192" t="s">
        <v>201</v>
      </c>
      <c r="C500" s="51">
        <v>228023</v>
      </c>
      <c r="D500" s="51">
        <f>C500</f>
        <v>228023</v>
      </c>
      <c r="E500" s="51">
        <v>0</v>
      </c>
      <c r="F500" s="2">
        <f>D500-E500</f>
        <v>228023</v>
      </c>
      <c r="G500" s="58">
        <f>SUM(H500:M500)</f>
        <v>93867.558222801323</v>
      </c>
      <c r="H500" s="51">
        <f>(C500/C499)*H499</f>
        <v>93867.558222801323</v>
      </c>
      <c r="I500" s="51"/>
      <c r="J500" s="51"/>
      <c r="K500" s="51"/>
      <c r="L500" s="51"/>
      <c r="M500" s="51"/>
      <c r="N500" s="22"/>
    </row>
    <row r="501" spans="1:14" s="41" customFormat="1" ht="15.75" customHeight="1">
      <c r="A501" s="50"/>
      <c r="B501" s="192"/>
      <c r="C501" s="52"/>
      <c r="D501" s="52"/>
      <c r="E501" s="52"/>
      <c r="F501" s="1"/>
      <c r="G501" s="202"/>
      <c r="H501" s="52"/>
      <c r="I501" s="52"/>
      <c r="J501" s="52"/>
      <c r="K501" s="52"/>
      <c r="L501" s="52"/>
      <c r="M501" s="52"/>
      <c r="N501" s="22"/>
    </row>
    <row r="502" spans="1:14" s="41" customFormat="1" ht="15.75" customHeight="1">
      <c r="A502" s="50"/>
      <c r="B502" s="13"/>
      <c r="C502" s="52"/>
      <c r="D502" s="52"/>
      <c r="E502" s="52"/>
      <c r="F502" s="1"/>
      <c r="G502" s="202"/>
      <c r="H502" s="52"/>
      <c r="I502" s="52"/>
      <c r="J502" s="52"/>
      <c r="K502" s="52"/>
      <c r="L502" s="52"/>
      <c r="M502" s="52"/>
      <c r="N502" s="22"/>
    </row>
    <row r="503" spans="1:14" s="41" customFormat="1" ht="27.75" customHeight="1">
      <c r="A503" s="50" t="s">
        <v>37</v>
      </c>
      <c r="B503" s="34" t="s">
        <v>60</v>
      </c>
      <c r="C503" s="274">
        <f>C506+C507</f>
        <v>2093</v>
      </c>
      <c r="D503" s="274">
        <f t="shared" ref="D503:M503" si="60">D506+D507</f>
        <v>2093</v>
      </c>
      <c r="E503" s="274">
        <f t="shared" si="60"/>
        <v>166</v>
      </c>
      <c r="F503" s="274">
        <f t="shared" si="60"/>
        <v>1927</v>
      </c>
      <c r="G503" s="274">
        <f t="shared" si="60"/>
        <v>1927</v>
      </c>
      <c r="H503" s="274">
        <f t="shared" si="60"/>
        <v>0</v>
      </c>
      <c r="I503" s="274">
        <f t="shared" si="60"/>
        <v>0</v>
      </c>
      <c r="J503" s="274">
        <f t="shared" si="60"/>
        <v>25</v>
      </c>
      <c r="K503" s="274">
        <f t="shared" si="60"/>
        <v>0</v>
      </c>
      <c r="L503" s="274">
        <f t="shared" si="60"/>
        <v>1895</v>
      </c>
      <c r="M503" s="274">
        <f t="shared" si="60"/>
        <v>7</v>
      </c>
      <c r="N503" s="22"/>
    </row>
    <row r="504" spans="1:14" s="41" customFormat="1" ht="27.75" customHeight="1">
      <c r="A504" s="50"/>
      <c r="B504" s="35" t="s">
        <v>61</v>
      </c>
      <c r="C504" s="202"/>
      <c r="D504" s="202"/>
      <c r="E504" s="202"/>
      <c r="F504" s="202"/>
      <c r="G504" s="202"/>
      <c r="H504" s="202"/>
      <c r="I504" s="202"/>
      <c r="J504" s="202"/>
      <c r="K504" s="202"/>
      <c r="L504" s="202"/>
      <c r="M504" s="202"/>
      <c r="N504" s="54"/>
    </row>
    <row r="505" spans="1:14" s="41" customFormat="1" ht="27.75" customHeight="1">
      <c r="A505" s="50"/>
      <c r="B505" s="16" t="s">
        <v>42</v>
      </c>
      <c r="C505" s="52"/>
      <c r="D505" s="52"/>
      <c r="E505" s="52"/>
      <c r="F505" s="52"/>
      <c r="G505" s="202"/>
      <c r="H505" s="52"/>
      <c r="I505" s="52"/>
      <c r="J505" s="52"/>
      <c r="K505" s="52"/>
      <c r="L505" s="52"/>
      <c r="M505" s="52"/>
      <c r="N505" s="55"/>
    </row>
    <row r="506" spans="1:14" s="41" customFormat="1" ht="27.75" customHeight="1">
      <c r="A506" s="50"/>
      <c r="B506" s="23" t="s">
        <v>62</v>
      </c>
      <c r="C506" s="52">
        <f>'A3 - STUDII SI PROIECTE 2024'!D214</f>
        <v>2021</v>
      </c>
      <c r="D506" s="52">
        <f>'A3 - STUDII SI PROIECTE 2024'!E214</f>
        <v>2021</v>
      </c>
      <c r="E506" s="52">
        <f>'A3 - STUDII SI PROIECTE 2024'!F214</f>
        <v>132</v>
      </c>
      <c r="F506" s="52">
        <f>'A3 - STUDII SI PROIECTE 2024'!G214</f>
        <v>1889</v>
      </c>
      <c r="G506" s="202">
        <f>'A3 - STUDII SI PROIECTE 2024'!H214</f>
        <v>1889</v>
      </c>
      <c r="H506" s="52">
        <f>'A3 - STUDII SI PROIECTE 2024'!I214</f>
        <v>0</v>
      </c>
      <c r="I506" s="52">
        <f>'A3 - STUDII SI PROIECTE 2024'!J214</f>
        <v>0</v>
      </c>
      <c r="J506" s="52">
        <f>'A3 - STUDII SI PROIECTE 2024'!K214</f>
        <v>0</v>
      </c>
      <c r="K506" s="52">
        <f>'A3 - STUDII SI PROIECTE 2024'!L214</f>
        <v>0</v>
      </c>
      <c r="L506" s="52">
        <f>'A3 - STUDII SI PROIECTE 2024'!M214</f>
        <v>1889</v>
      </c>
      <c r="M506" s="52">
        <f>'A3 - STUDII SI PROIECTE 2024'!N214</f>
        <v>0</v>
      </c>
      <c r="N506" s="55"/>
    </row>
    <row r="507" spans="1:14" s="41" customFormat="1" ht="27.75" customHeight="1">
      <c r="A507" s="43"/>
      <c r="B507" s="23" t="s">
        <v>155</v>
      </c>
      <c r="C507" s="1">
        <f>'A3 - DOTARI 2024'!D139</f>
        <v>72</v>
      </c>
      <c r="D507" s="1">
        <f>'A3 - DOTARI 2024'!E139</f>
        <v>72</v>
      </c>
      <c r="E507" s="1">
        <f>'A3 - DOTARI 2024'!F139</f>
        <v>34</v>
      </c>
      <c r="F507" s="1">
        <f>'A3 - DOTARI 2024'!G139</f>
        <v>38</v>
      </c>
      <c r="G507" s="46">
        <f>'A3 - DOTARI 2024'!H139</f>
        <v>38</v>
      </c>
      <c r="H507" s="1">
        <f>'A3 - DOTARI 2024'!I139</f>
        <v>0</v>
      </c>
      <c r="I507" s="1">
        <f>'A3 - DOTARI 2024'!J139</f>
        <v>0</v>
      </c>
      <c r="J507" s="1">
        <f>'A3 - DOTARI 2024'!K139</f>
        <v>25</v>
      </c>
      <c r="K507" s="1">
        <f>'A3 - DOTARI 2024'!L139</f>
        <v>0</v>
      </c>
      <c r="L507" s="1">
        <f>'A3 - DOTARI 2024'!M139</f>
        <v>6</v>
      </c>
      <c r="M507" s="1">
        <f>'A3 - DOTARI 2024'!N139</f>
        <v>7</v>
      </c>
      <c r="N507" s="55"/>
    </row>
    <row r="508" spans="1:14" s="41" customFormat="1" ht="27.75" customHeight="1">
      <c r="A508" s="43"/>
      <c r="B508" s="23"/>
      <c r="C508" s="1"/>
      <c r="D508" s="1"/>
      <c r="E508" s="1"/>
      <c r="F508" s="1"/>
      <c r="G508" s="46"/>
      <c r="H508" s="1"/>
      <c r="I508" s="1"/>
      <c r="J508" s="1"/>
      <c r="K508" s="1"/>
      <c r="L508" s="1"/>
      <c r="M508" s="1"/>
      <c r="N508" s="55"/>
    </row>
    <row r="509" spans="1:14" s="41" customFormat="1" ht="27.75" customHeight="1">
      <c r="A509" s="43"/>
      <c r="B509" s="23"/>
      <c r="C509" s="1"/>
      <c r="D509" s="1"/>
      <c r="E509" s="1"/>
      <c r="F509" s="1"/>
      <c r="G509" s="46"/>
      <c r="H509" s="1"/>
      <c r="I509" s="1"/>
      <c r="J509" s="1"/>
      <c r="K509" s="1"/>
      <c r="L509" s="1"/>
      <c r="M509" s="1"/>
      <c r="N509" s="55"/>
    </row>
    <row r="510" spans="1:14" s="41" customFormat="1" ht="27.75" customHeight="1">
      <c r="A510" s="43"/>
      <c r="B510" s="23"/>
      <c r="C510" s="1"/>
      <c r="D510" s="1"/>
      <c r="E510" s="1"/>
      <c r="F510" s="1"/>
      <c r="G510" s="46"/>
      <c r="H510" s="1"/>
      <c r="I510" s="1"/>
      <c r="J510" s="1"/>
      <c r="K510" s="1"/>
      <c r="L510" s="1"/>
      <c r="M510" s="1"/>
      <c r="N510" s="55"/>
    </row>
    <row r="511" spans="1:14" s="41" customFormat="1" ht="27.75" customHeight="1">
      <c r="A511" s="43"/>
      <c r="B511" s="23"/>
      <c r="C511" s="1"/>
      <c r="D511" s="1"/>
      <c r="E511" s="1"/>
      <c r="F511" s="1"/>
      <c r="G511" s="46"/>
      <c r="H511" s="1"/>
      <c r="I511" s="1"/>
      <c r="J511" s="1"/>
      <c r="K511" s="1"/>
      <c r="L511" s="1"/>
      <c r="M511" s="1"/>
      <c r="N511" s="55"/>
    </row>
    <row r="512" spans="1:14" s="41" customFormat="1" ht="27.75" customHeight="1">
      <c r="A512" s="43"/>
      <c r="B512" s="23"/>
      <c r="C512" s="1"/>
      <c r="D512" s="1"/>
      <c r="E512" s="1"/>
      <c r="F512" s="1"/>
      <c r="G512" s="46"/>
      <c r="H512" s="1"/>
      <c r="I512" s="1"/>
      <c r="J512" s="1"/>
      <c r="K512" s="1"/>
      <c r="L512" s="1"/>
      <c r="M512" s="1"/>
      <c r="N512" s="55"/>
    </row>
    <row r="513" spans="1:14" s="41" customFormat="1" ht="27.75" customHeight="1">
      <c r="A513" s="43"/>
      <c r="B513" s="23"/>
      <c r="C513" s="1"/>
      <c r="D513" s="1"/>
      <c r="E513" s="1"/>
      <c r="F513" s="1"/>
      <c r="G513" s="46"/>
      <c r="H513" s="1"/>
      <c r="I513" s="1"/>
      <c r="J513" s="1"/>
      <c r="K513" s="1"/>
      <c r="L513" s="1"/>
      <c r="M513" s="1"/>
      <c r="N513" s="55"/>
    </row>
    <row r="514" spans="1:14" s="41" customFormat="1" ht="30" customHeight="1">
      <c r="A514" s="12"/>
      <c r="B514" s="144" t="s">
        <v>202</v>
      </c>
      <c r="C514" s="13" t="s">
        <v>203</v>
      </c>
      <c r="D514" s="14"/>
      <c r="E514" s="14"/>
      <c r="F514" s="14"/>
      <c r="G514" s="46"/>
      <c r="H514" s="46"/>
      <c r="I514" s="46"/>
      <c r="J514" s="46"/>
      <c r="K514" s="46"/>
      <c r="L514" s="46"/>
      <c r="M514" s="46" t="s">
        <v>41</v>
      </c>
      <c r="N514" s="55"/>
    </row>
    <row r="515" spans="1:14" s="41" customFormat="1" ht="19.5" customHeight="1">
      <c r="A515" s="15"/>
      <c r="B515" s="16" t="s">
        <v>42</v>
      </c>
      <c r="C515" s="17">
        <f>C518+C569+C605</f>
        <v>783973</v>
      </c>
      <c r="D515" s="17">
        <f t="shared" ref="D515:M515" si="61">D518+D569+D605</f>
        <v>930842</v>
      </c>
      <c r="E515" s="17">
        <f t="shared" si="61"/>
        <v>274109</v>
      </c>
      <c r="F515" s="17">
        <f t="shared" si="61"/>
        <v>656733</v>
      </c>
      <c r="G515" s="17">
        <f t="shared" si="61"/>
        <v>86042</v>
      </c>
      <c r="H515" s="17">
        <f t="shared" si="61"/>
        <v>11204</v>
      </c>
      <c r="I515" s="17">
        <f t="shared" si="61"/>
        <v>480</v>
      </c>
      <c r="J515" s="17">
        <f t="shared" si="61"/>
        <v>46171</v>
      </c>
      <c r="K515" s="17">
        <f t="shared" si="61"/>
        <v>0</v>
      </c>
      <c r="L515" s="17">
        <f t="shared" si="61"/>
        <v>28187</v>
      </c>
      <c r="M515" s="17">
        <f t="shared" si="61"/>
        <v>0</v>
      </c>
      <c r="N515" s="55"/>
    </row>
    <row r="516" spans="1:14" s="41" customFormat="1" ht="19.5" customHeight="1">
      <c r="A516" s="18"/>
      <c r="B516" s="16"/>
      <c r="C516" s="17">
        <f>C519+C570+C606</f>
        <v>503549</v>
      </c>
      <c r="D516" s="17">
        <f t="shared" ref="D516:M516" si="62">D519+D570+D606</f>
        <v>630977</v>
      </c>
      <c r="E516" s="17">
        <f t="shared" si="62"/>
        <v>234733</v>
      </c>
      <c r="F516" s="17">
        <f t="shared" si="62"/>
        <v>396244</v>
      </c>
      <c r="G516" s="17">
        <f t="shared" si="62"/>
        <v>58791</v>
      </c>
      <c r="H516" s="17">
        <f t="shared" si="62"/>
        <v>0</v>
      </c>
      <c r="I516" s="17">
        <f t="shared" si="62"/>
        <v>0</v>
      </c>
      <c r="J516" s="17">
        <f t="shared" si="62"/>
        <v>44613</v>
      </c>
      <c r="K516" s="17">
        <f t="shared" si="62"/>
        <v>0</v>
      </c>
      <c r="L516" s="17">
        <f t="shared" si="62"/>
        <v>14178</v>
      </c>
      <c r="M516" s="17">
        <f t="shared" si="62"/>
        <v>0</v>
      </c>
      <c r="N516" s="22"/>
    </row>
    <row r="517" spans="1:14" s="41" customFormat="1" ht="19.5" customHeight="1">
      <c r="A517" s="18"/>
      <c r="B517" s="16"/>
      <c r="C517" s="46"/>
      <c r="D517" s="46"/>
      <c r="E517" s="46"/>
      <c r="F517" s="46"/>
      <c r="G517" s="46"/>
      <c r="H517" s="46"/>
      <c r="I517" s="46"/>
      <c r="J517" s="46"/>
      <c r="K517" s="46"/>
      <c r="L517" s="46"/>
      <c r="M517" s="46"/>
      <c r="N517" s="55"/>
    </row>
    <row r="518" spans="1:14" s="41" customFormat="1" ht="19.5" customHeight="1">
      <c r="A518" s="18" t="s">
        <v>32</v>
      </c>
      <c r="B518" s="34" t="s">
        <v>33</v>
      </c>
      <c r="C518" s="17">
        <f>C521+C525+C529+C533+C537+C541+C545+C549+C553+C557+C561+C565</f>
        <v>274073</v>
      </c>
      <c r="D518" s="17">
        <f t="shared" ref="D518:M518" si="63">D521+D525+D529+D533+D537+D541+D545+D549+D553+D557+D561+D565</f>
        <v>420439</v>
      </c>
      <c r="E518" s="17">
        <f t="shared" si="63"/>
        <v>262597</v>
      </c>
      <c r="F518" s="17">
        <f t="shared" si="63"/>
        <v>157842</v>
      </c>
      <c r="G518" s="17">
        <f t="shared" si="63"/>
        <v>53902</v>
      </c>
      <c r="H518" s="17">
        <f t="shared" si="63"/>
        <v>0</v>
      </c>
      <c r="I518" s="17">
        <f t="shared" si="63"/>
        <v>0</v>
      </c>
      <c r="J518" s="17">
        <f t="shared" si="63"/>
        <v>46158</v>
      </c>
      <c r="K518" s="17">
        <f t="shared" si="63"/>
        <v>0</v>
      </c>
      <c r="L518" s="17">
        <f t="shared" si="63"/>
        <v>7744</v>
      </c>
      <c r="M518" s="17">
        <f t="shared" si="63"/>
        <v>0</v>
      </c>
      <c r="N518" s="22"/>
    </row>
    <row r="519" spans="1:14" s="41" customFormat="1" ht="19.5" customHeight="1">
      <c r="A519" s="18"/>
      <c r="B519" s="35" t="s">
        <v>34</v>
      </c>
      <c r="C519" s="17">
        <f>C522+C526+C530+C534+C538+C542+C546+C550+C554+C558+C562+C566</f>
        <v>225991</v>
      </c>
      <c r="D519" s="17">
        <f t="shared" ref="D519:M519" si="64">D522+D526+D530+D534+D538+D542+D546+D550+D554+D558+D562+D566</f>
        <v>353419</v>
      </c>
      <c r="E519" s="17">
        <f t="shared" si="64"/>
        <v>234733</v>
      </c>
      <c r="F519" s="17">
        <f t="shared" si="64"/>
        <v>118686</v>
      </c>
      <c r="G519" s="17">
        <f t="shared" si="64"/>
        <v>49414</v>
      </c>
      <c r="H519" s="17">
        <f t="shared" si="64"/>
        <v>0</v>
      </c>
      <c r="I519" s="17">
        <f t="shared" si="64"/>
        <v>0</v>
      </c>
      <c r="J519" s="17">
        <f t="shared" si="64"/>
        <v>44613</v>
      </c>
      <c r="K519" s="17">
        <f t="shared" si="64"/>
        <v>0</v>
      </c>
      <c r="L519" s="17">
        <f t="shared" si="64"/>
        <v>4801</v>
      </c>
      <c r="M519" s="17">
        <f t="shared" si="64"/>
        <v>0</v>
      </c>
      <c r="N519" s="55"/>
    </row>
    <row r="520" spans="1:14" s="41" customFormat="1" ht="30" customHeight="1">
      <c r="A520" s="18"/>
      <c r="B520" s="32" t="s">
        <v>204</v>
      </c>
      <c r="C520" s="1"/>
      <c r="D520" s="1"/>
      <c r="E520" s="1"/>
      <c r="F520" s="1"/>
      <c r="G520" s="46"/>
      <c r="H520" s="1"/>
      <c r="I520" s="1"/>
      <c r="J520" s="1"/>
      <c r="K520" s="1"/>
      <c r="L520" s="1"/>
      <c r="M520" s="1"/>
      <c r="N520" s="55"/>
    </row>
    <row r="521" spans="1:14" s="41" customFormat="1" ht="42.75">
      <c r="A521" s="53">
        <v>1</v>
      </c>
      <c r="B521" s="59" t="s">
        <v>205</v>
      </c>
      <c r="C521" s="2">
        <v>85967</v>
      </c>
      <c r="D521" s="2">
        <v>130039</v>
      </c>
      <c r="E521" s="2">
        <f>3515+35579+61319</f>
        <v>100413</v>
      </c>
      <c r="F521" s="2">
        <f>D521-E521</f>
        <v>29626</v>
      </c>
      <c r="G521" s="58">
        <f>SUM(H521:M521)</f>
        <v>13034</v>
      </c>
      <c r="H521" s="2"/>
      <c r="I521" s="2"/>
      <c r="J521" s="2">
        <f>1729+11305</f>
        <v>13034</v>
      </c>
      <c r="K521" s="2"/>
      <c r="L521" s="2"/>
      <c r="M521" s="42"/>
      <c r="N521" s="22" t="s">
        <v>45</v>
      </c>
    </row>
    <row r="522" spans="1:14" s="41" customFormat="1" ht="33" customHeight="1">
      <c r="A522" s="53"/>
      <c r="B522" s="142" t="s">
        <v>206</v>
      </c>
      <c r="C522" s="2">
        <v>77031</v>
      </c>
      <c r="D522" s="2">
        <v>118384</v>
      </c>
      <c r="E522" s="2">
        <f>3220+35478+59946</f>
        <v>98644</v>
      </c>
      <c r="F522" s="2">
        <f>D522-E522</f>
        <v>19740</v>
      </c>
      <c r="G522" s="58">
        <f>SUM(H522:M522)</f>
        <v>12529</v>
      </c>
      <c r="H522" s="2"/>
      <c r="I522" s="2"/>
      <c r="J522" s="2">
        <f>18264-5479-256</f>
        <v>12529</v>
      </c>
      <c r="K522" s="2"/>
      <c r="L522" s="2"/>
      <c r="M522" s="42"/>
      <c r="N522" s="22"/>
    </row>
    <row r="523" spans="1:14" s="41" customFormat="1" ht="15" customHeight="1">
      <c r="A523" s="53"/>
      <c r="B523" s="142"/>
      <c r="C523" s="1"/>
      <c r="D523" s="1"/>
      <c r="E523" s="1"/>
      <c r="F523" s="1"/>
      <c r="G523" s="202"/>
      <c r="H523" s="1"/>
      <c r="I523" s="1"/>
      <c r="J523" s="1"/>
      <c r="K523" s="1"/>
      <c r="L523" s="1"/>
      <c r="M523" s="14"/>
      <c r="N523" s="22"/>
    </row>
    <row r="524" spans="1:14" s="41" customFormat="1" ht="15" customHeight="1">
      <c r="A524" s="53"/>
      <c r="B524" s="60"/>
      <c r="C524" s="1"/>
      <c r="D524" s="1"/>
      <c r="E524" s="1"/>
      <c r="F524" s="1"/>
      <c r="G524" s="202"/>
      <c r="H524" s="1"/>
      <c r="I524" s="1"/>
      <c r="J524" s="1"/>
      <c r="K524" s="1"/>
      <c r="L524" s="1"/>
      <c r="M524" s="14"/>
      <c r="N524" s="22"/>
    </row>
    <row r="525" spans="1:14" s="41" customFormat="1" ht="40.5" customHeight="1">
      <c r="A525" s="53">
        <v>2</v>
      </c>
      <c r="B525" s="59" t="s">
        <v>207</v>
      </c>
      <c r="C525" s="2">
        <v>89855</v>
      </c>
      <c r="D525" s="2">
        <v>157988</v>
      </c>
      <c r="E525" s="2">
        <f>13057+23021+49125</f>
        <v>85203</v>
      </c>
      <c r="F525" s="2">
        <f>D525-E525</f>
        <v>72785</v>
      </c>
      <c r="G525" s="58">
        <f>SUM(H525:M525)</f>
        <v>14504</v>
      </c>
      <c r="H525" s="2"/>
      <c r="I525" s="2"/>
      <c r="J525" s="2">
        <f>1924+12580</f>
        <v>14504</v>
      </c>
      <c r="K525" s="2"/>
      <c r="L525" s="2"/>
      <c r="M525" s="42"/>
      <c r="N525" s="22" t="s">
        <v>45</v>
      </c>
    </row>
    <row r="526" spans="1:14" s="41" customFormat="1" ht="24" customHeight="1">
      <c r="A526" s="53"/>
      <c r="B526" s="142" t="s">
        <v>208</v>
      </c>
      <c r="C526" s="2">
        <v>69490</v>
      </c>
      <c r="D526" s="2">
        <v>123418</v>
      </c>
      <c r="E526" s="2">
        <f>540+18087+48876</f>
        <v>67503</v>
      </c>
      <c r="F526" s="2">
        <f>D526-E526</f>
        <v>55915</v>
      </c>
      <c r="G526" s="58">
        <f>SUM(H526:M526)</f>
        <v>14375</v>
      </c>
      <c r="H526" s="2"/>
      <c r="I526" s="2"/>
      <c r="J526" s="2">
        <f>25668-11000-293</f>
        <v>14375</v>
      </c>
      <c r="K526" s="2"/>
      <c r="L526" s="2"/>
      <c r="M526" s="42"/>
      <c r="N526" s="22"/>
    </row>
    <row r="527" spans="1:14" s="41" customFormat="1" ht="14.25" customHeight="1">
      <c r="A527" s="53"/>
      <c r="B527" s="142"/>
      <c r="C527" s="1"/>
      <c r="D527" s="1"/>
      <c r="E527" s="1"/>
      <c r="F527" s="1"/>
      <c r="G527" s="202"/>
      <c r="H527" s="1"/>
      <c r="I527" s="1"/>
      <c r="J527" s="1"/>
      <c r="K527" s="1"/>
      <c r="L527" s="1"/>
      <c r="M527" s="14"/>
      <c r="N527" s="22"/>
    </row>
    <row r="528" spans="1:14" s="41" customFormat="1" ht="14.25" customHeight="1">
      <c r="A528" s="53"/>
      <c r="B528" s="142"/>
      <c r="C528" s="1"/>
      <c r="D528" s="1"/>
      <c r="E528" s="1"/>
      <c r="F528" s="1"/>
      <c r="G528" s="202"/>
      <c r="H528" s="1"/>
      <c r="I528" s="1"/>
      <c r="J528" s="1"/>
      <c r="K528" s="1"/>
      <c r="L528" s="1"/>
      <c r="M528" s="14"/>
      <c r="N528" s="22"/>
    </row>
    <row r="529" spans="1:14" s="41" customFormat="1" ht="42" customHeight="1">
      <c r="A529" s="53">
        <v>3</v>
      </c>
      <c r="B529" s="59" t="s">
        <v>209</v>
      </c>
      <c r="C529" s="2">
        <v>69801</v>
      </c>
      <c r="D529" s="2">
        <v>99888</v>
      </c>
      <c r="E529" s="2">
        <f>164+13500+49373</f>
        <v>63037</v>
      </c>
      <c r="F529" s="2">
        <f>D529-E529</f>
        <v>36851</v>
      </c>
      <c r="G529" s="58">
        <f>SUM(H529:M529)</f>
        <v>18620</v>
      </c>
      <c r="H529" s="2"/>
      <c r="I529" s="2"/>
      <c r="J529" s="2">
        <f>2470+16150</f>
        <v>18620</v>
      </c>
      <c r="K529" s="2"/>
      <c r="L529" s="2"/>
      <c r="M529" s="42"/>
      <c r="N529" s="22" t="s">
        <v>45</v>
      </c>
    </row>
    <row r="530" spans="1:14" s="41" customFormat="1" ht="29.25" customHeight="1">
      <c r="A530" s="53"/>
      <c r="B530" s="142" t="s">
        <v>210</v>
      </c>
      <c r="C530" s="2">
        <v>54671</v>
      </c>
      <c r="D530" s="2">
        <v>83497</v>
      </c>
      <c r="E530" s="2">
        <f>13434+48961-4577</f>
        <v>57818</v>
      </c>
      <c r="F530" s="2">
        <f>D530-E530</f>
        <v>25679</v>
      </c>
      <c r="G530" s="58">
        <f>SUM(H530:M530)</f>
        <v>17709</v>
      </c>
      <c r="H530" s="2"/>
      <c r="I530" s="2"/>
      <c r="J530" s="2">
        <f>25679-7609-361</f>
        <v>17709</v>
      </c>
      <c r="K530" s="2"/>
      <c r="L530" s="2"/>
      <c r="M530" s="42"/>
      <c r="N530" s="22"/>
    </row>
    <row r="531" spans="1:14" s="41" customFormat="1" ht="13.5" customHeight="1">
      <c r="A531" s="53"/>
      <c r="B531" s="142"/>
      <c r="C531" s="1"/>
      <c r="D531" s="1"/>
      <c r="E531" s="1"/>
      <c r="F531" s="1"/>
      <c r="G531" s="202"/>
      <c r="H531" s="1"/>
      <c r="I531" s="1"/>
      <c r="J531" s="1"/>
      <c r="K531" s="1"/>
      <c r="L531" s="1"/>
      <c r="M531" s="14"/>
      <c r="N531" s="22"/>
    </row>
    <row r="532" spans="1:14" s="41" customFormat="1" ht="13.5" customHeight="1">
      <c r="A532" s="53"/>
      <c r="B532" s="142"/>
      <c r="C532" s="1"/>
      <c r="D532" s="1"/>
      <c r="E532" s="1"/>
      <c r="F532" s="1"/>
      <c r="G532" s="202"/>
      <c r="H532" s="1"/>
      <c r="I532" s="1"/>
      <c r="J532" s="1"/>
      <c r="K532" s="1"/>
      <c r="L532" s="1"/>
      <c r="M532" s="14"/>
      <c r="N532" s="22"/>
    </row>
    <row r="533" spans="1:14" s="41" customFormat="1" ht="57">
      <c r="A533" s="53">
        <v>4</v>
      </c>
      <c r="B533" s="59" t="s">
        <v>211</v>
      </c>
      <c r="C533" s="2">
        <v>13836</v>
      </c>
      <c r="D533" s="2">
        <v>13836</v>
      </c>
      <c r="E533" s="2">
        <f>2126+8</f>
        <v>2134</v>
      </c>
      <c r="F533" s="2">
        <f>D533-E533</f>
        <v>11702</v>
      </c>
      <c r="G533" s="58">
        <f>SUM(H533:M533)</f>
        <v>5716</v>
      </c>
      <c r="H533" s="2"/>
      <c r="I533" s="2"/>
      <c r="J533" s="2">
        <v>0</v>
      </c>
      <c r="K533" s="2"/>
      <c r="L533" s="2">
        <v>5716</v>
      </c>
      <c r="M533" s="42">
        <v>0</v>
      </c>
      <c r="N533" s="22" t="s">
        <v>45</v>
      </c>
    </row>
    <row r="534" spans="1:14" s="41" customFormat="1" ht="17.25" customHeight="1">
      <c r="A534" s="53"/>
      <c r="B534" s="142" t="s">
        <v>212</v>
      </c>
      <c r="C534" s="2">
        <v>12128</v>
      </c>
      <c r="D534" s="2">
        <v>12128</v>
      </c>
      <c r="E534" s="2">
        <v>1515</v>
      </c>
      <c r="F534" s="2">
        <f>D534-E534</f>
        <v>10613</v>
      </c>
      <c r="G534" s="58">
        <f>SUM(H534:M534)</f>
        <v>3051</v>
      </c>
      <c r="H534" s="2"/>
      <c r="I534" s="2"/>
      <c r="J534" s="2">
        <v>0</v>
      </c>
      <c r="K534" s="2"/>
      <c r="L534" s="2">
        <v>3051</v>
      </c>
      <c r="M534" s="42">
        <v>0</v>
      </c>
      <c r="N534" s="22"/>
    </row>
    <row r="535" spans="1:14" s="41" customFormat="1" ht="14.25" customHeight="1">
      <c r="A535" s="53"/>
      <c r="B535" s="142"/>
      <c r="C535" s="1"/>
      <c r="D535" s="1"/>
      <c r="E535" s="1"/>
      <c r="F535" s="1"/>
      <c r="G535" s="202"/>
      <c r="H535" s="1"/>
      <c r="I535" s="1"/>
      <c r="J535" s="1"/>
      <c r="K535" s="1"/>
      <c r="L535" s="1"/>
      <c r="M535" s="14"/>
      <c r="N535" s="22"/>
    </row>
    <row r="536" spans="1:14" s="41" customFormat="1" ht="14.25" customHeight="1">
      <c r="A536" s="53"/>
      <c r="B536" s="142"/>
      <c r="C536" s="1"/>
      <c r="D536" s="1"/>
      <c r="E536" s="1"/>
      <c r="F536" s="1"/>
      <c r="G536" s="202"/>
      <c r="H536" s="1"/>
      <c r="I536" s="1"/>
      <c r="J536" s="1"/>
      <c r="K536" s="1"/>
      <c r="L536" s="1"/>
      <c r="M536" s="14"/>
      <c r="N536" s="22"/>
    </row>
    <row r="537" spans="1:14" s="41" customFormat="1" ht="36" customHeight="1">
      <c r="A537" s="53">
        <v>5</v>
      </c>
      <c r="B537" s="59" t="s">
        <v>213</v>
      </c>
      <c r="C537" s="2">
        <v>281</v>
      </c>
      <c r="D537" s="2">
        <v>281</v>
      </c>
      <c r="E537" s="2">
        <v>248</v>
      </c>
      <c r="F537" s="2">
        <f>D537-E537</f>
        <v>33</v>
      </c>
      <c r="G537" s="58">
        <f>SUM(H537:M537)</f>
        <v>2</v>
      </c>
      <c r="H537" s="2"/>
      <c r="I537" s="2"/>
      <c r="J537" s="2">
        <v>0</v>
      </c>
      <c r="K537" s="2"/>
      <c r="L537" s="2">
        <v>2</v>
      </c>
      <c r="M537" s="42">
        <v>0</v>
      </c>
      <c r="N537" s="22" t="s">
        <v>45</v>
      </c>
    </row>
    <row r="538" spans="1:14" s="41" customFormat="1" ht="18" customHeight="1">
      <c r="A538" s="53"/>
      <c r="B538" s="142" t="s">
        <v>214</v>
      </c>
      <c r="C538" s="2">
        <v>240</v>
      </c>
      <c r="D538" s="2">
        <v>240</v>
      </c>
      <c r="E538" s="2">
        <v>229</v>
      </c>
      <c r="F538" s="2">
        <f>D538-E538</f>
        <v>11</v>
      </c>
      <c r="G538" s="58">
        <f>SUM(H538:M538)</f>
        <v>0</v>
      </c>
      <c r="H538" s="2"/>
      <c r="I538" s="2"/>
      <c r="J538" s="2">
        <v>0</v>
      </c>
      <c r="K538" s="2"/>
      <c r="L538" s="2">
        <v>0</v>
      </c>
      <c r="M538" s="42">
        <v>0</v>
      </c>
      <c r="N538" s="22"/>
    </row>
    <row r="539" spans="1:14" s="41" customFormat="1" ht="18.75" customHeight="1">
      <c r="A539" s="53"/>
      <c r="B539" s="142"/>
      <c r="C539" s="1"/>
      <c r="D539" s="1"/>
      <c r="E539" s="1"/>
      <c r="F539" s="1"/>
      <c r="G539" s="202"/>
      <c r="H539" s="1"/>
      <c r="I539" s="1"/>
      <c r="J539" s="1"/>
      <c r="K539" s="1"/>
      <c r="L539" s="1"/>
      <c r="M539" s="14"/>
      <c r="N539" s="22"/>
    </row>
    <row r="540" spans="1:14" s="41" customFormat="1" ht="18.75" customHeight="1">
      <c r="A540" s="53"/>
      <c r="B540" s="142"/>
      <c r="C540" s="1"/>
      <c r="D540" s="1"/>
      <c r="E540" s="1"/>
      <c r="F540" s="1"/>
      <c r="G540" s="202"/>
      <c r="H540" s="1"/>
      <c r="I540" s="1"/>
      <c r="J540" s="1"/>
      <c r="K540" s="1"/>
      <c r="L540" s="1"/>
      <c r="M540" s="14"/>
      <c r="N540" s="22"/>
    </row>
    <row r="541" spans="1:14" s="41" customFormat="1" ht="43.5" customHeight="1">
      <c r="A541" s="53">
        <v>6</v>
      </c>
      <c r="B541" s="59" t="s">
        <v>215</v>
      </c>
      <c r="C541" s="2">
        <v>157</v>
      </c>
      <c r="D541" s="2">
        <v>157</v>
      </c>
      <c r="E541" s="2">
        <v>99</v>
      </c>
      <c r="F541" s="2">
        <f>D541-E541</f>
        <v>58</v>
      </c>
      <c r="G541" s="58">
        <f>SUM(H541:M541)</f>
        <v>1</v>
      </c>
      <c r="H541" s="2"/>
      <c r="I541" s="2"/>
      <c r="J541" s="2">
        <v>0</v>
      </c>
      <c r="K541" s="2"/>
      <c r="L541" s="2">
        <v>1</v>
      </c>
      <c r="M541" s="42">
        <v>0</v>
      </c>
      <c r="N541" s="22" t="s">
        <v>45</v>
      </c>
    </row>
    <row r="542" spans="1:14" s="41" customFormat="1" ht="23.25" customHeight="1">
      <c r="A542" s="53"/>
      <c r="B542" s="142" t="s">
        <v>214</v>
      </c>
      <c r="C542" s="2">
        <v>134</v>
      </c>
      <c r="D542" s="2">
        <v>134</v>
      </c>
      <c r="E542" s="2">
        <v>89</v>
      </c>
      <c r="F542" s="2">
        <f>D542-E542</f>
        <v>45</v>
      </c>
      <c r="G542" s="58">
        <f>SUM(H542:M542)</f>
        <v>0</v>
      </c>
      <c r="H542" s="2"/>
      <c r="I542" s="2"/>
      <c r="J542" s="2">
        <v>0</v>
      </c>
      <c r="K542" s="2"/>
      <c r="L542" s="2">
        <v>0</v>
      </c>
      <c r="M542" s="42">
        <v>0</v>
      </c>
      <c r="N542" s="22"/>
    </row>
    <row r="543" spans="1:14" s="41" customFormat="1" ht="17.25" customHeight="1">
      <c r="A543" s="53"/>
      <c r="B543" s="142"/>
      <c r="C543" s="1"/>
      <c r="D543" s="1"/>
      <c r="E543" s="1"/>
      <c r="F543" s="1"/>
      <c r="G543" s="202"/>
      <c r="H543" s="1"/>
      <c r="I543" s="1"/>
      <c r="J543" s="1"/>
      <c r="K543" s="1"/>
      <c r="L543" s="1"/>
      <c r="M543" s="14"/>
      <c r="N543" s="22"/>
    </row>
    <row r="544" spans="1:14" s="41" customFormat="1" ht="17.25" customHeight="1">
      <c r="A544" s="53"/>
      <c r="B544" s="142"/>
      <c r="C544" s="1"/>
      <c r="D544" s="1"/>
      <c r="E544" s="1"/>
      <c r="F544" s="1"/>
      <c r="G544" s="202"/>
      <c r="H544" s="1"/>
      <c r="I544" s="1"/>
      <c r="J544" s="1"/>
      <c r="K544" s="1"/>
      <c r="L544" s="1"/>
      <c r="M544" s="14"/>
      <c r="N544" s="22"/>
    </row>
    <row r="545" spans="1:14" ht="23.25" customHeight="1">
      <c r="A545" s="53">
        <v>7</v>
      </c>
      <c r="B545" s="59" t="s">
        <v>216</v>
      </c>
      <c r="C545" s="2">
        <v>336</v>
      </c>
      <c r="D545" s="2">
        <v>245</v>
      </c>
      <c r="E545" s="2">
        <v>177</v>
      </c>
      <c r="F545" s="2">
        <f>D545-E545</f>
        <v>68</v>
      </c>
      <c r="G545" s="58">
        <f>SUM(H545:M545)</f>
        <v>2</v>
      </c>
      <c r="H545" s="2"/>
      <c r="I545" s="2"/>
      <c r="J545" s="2">
        <v>0</v>
      </c>
      <c r="K545" s="2"/>
      <c r="L545" s="2">
        <v>2</v>
      </c>
      <c r="M545" s="42">
        <v>0</v>
      </c>
      <c r="N545" s="22" t="s">
        <v>45</v>
      </c>
    </row>
    <row r="546" spans="1:14" ht="21" customHeight="1">
      <c r="A546" s="53"/>
      <c r="B546" s="142" t="s">
        <v>217</v>
      </c>
      <c r="C546" s="2">
        <v>293</v>
      </c>
      <c r="D546" s="2">
        <v>211</v>
      </c>
      <c r="E546" s="2">
        <v>138</v>
      </c>
      <c r="F546" s="2">
        <f>D546-E546</f>
        <v>73</v>
      </c>
      <c r="G546" s="58">
        <f>SUM(H546:M546)</f>
        <v>0</v>
      </c>
      <c r="H546" s="2"/>
      <c r="I546" s="2"/>
      <c r="J546" s="2">
        <v>0</v>
      </c>
      <c r="K546" s="2"/>
      <c r="L546" s="2">
        <v>0</v>
      </c>
      <c r="M546" s="42">
        <v>0</v>
      </c>
    </row>
    <row r="547" spans="1:14" ht="13.5" customHeight="1">
      <c r="A547" s="18"/>
      <c r="B547" s="32"/>
      <c r="C547" s="46"/>
      <c r="D547" s="46"/>
      <c r="E547" s="46"/>
      <c r="F547" s="46"/>
      <c r="G547" s="46"/>
      <c r="H547" s="46"/>
      <c r="I547" s="46"/>
      <c r="J547" s="46"/>
      <c r="K547" s="46"/>
      <c r="L547" s="46"/>
      <c r="M547" s="46"/>
    </row>
    <row r="548" spans="1:14" ht="13.5" customHeight="1">
      <c r="A548" s="18"/>
      <c r="B548" s="32"/>
      <c r="C548" s="46"/>
      <c r="D548" s="46"/>
      <c r="E548" s="46"/>
      <c r="F548" s="46"/>
      <c r="G548" s="46"/>
      <c r="H548" s="46"/>
      <c r="I548" s="46"/>
      <c r="J548" s="46"/>
      <c r="K548" s="46"/>
      <c r="L548" s="46"/>
      <c r="M548" s="46"/>
    </row>
    <row r="549" spans="1:14" ht="22.5" customHeight="1">
      <c r="A549" s="53">
        <v>8</v>
      </c>
      <c r="B549" s="59" t="s">
        <v>218</v>
      </c>
      <c r="C549" s="2">
        <v>331</v>
      </c>
      <c r="D549" s="2">
        <v>171</v>
      </c>
      <c r="E549" s="2">
        <v>124</v>
      </c>
      <c r="F549" s="2">
        <f>D549-E549</f>
        <v>47</v>
      </c>
      <c r="G549" s="58">
        <f>SUM(H549:M549)</f>
        <v>2</v>
      </c>
      <c r="H549" s="2"/>
      <c r="I549" s="2"/>
      <c r="J549" s="2">
        <v>0</v>
      </c>
      <c r="K549" s="2"/>
      <c r="L549" s="2">
        <v>2</v>
      </c>
      <c r="M549" s="42">
        <v>0</v>
      </c>
      <c r="N549" s="22" t="s">
        <v>45</v>
      </c>
    </row>
    <row r="550" spans="1:14" ht="17.25" customHeight="1">
      <c r="A550" s="53"/>
      <c r="B550" s="142" t="s">
        <v>217</v>
      </c>
      <c r="C550" s="2">
        <v>290</v>
      </c>
      <c r="D550" s="2">
        <v>146</v>
      </c>
      <c r="E550" s="2">
        <v>96</v>
      </c>
      <c r="F550" s="2">
        <f>D550-E550</f>
        <v>50</v>
      </c>
      <c r="G550" s="58">
        <f>SUM(H550:M550)</f>
        <v>0</v>
      </c>
      <c r="H550" s="2"/>
      <c r="I550" s="2"/>
      <c r="J550" s="2">
        <v>0</v>
      </c>
      <c r="K550" s="2"/>
      <c r="L550" s="2">
        <v>0</v>
      </c>
      <c r="M550" s="42">
        <v>0</v>
      </c>
    </row>
    <row r="551" spans="1:14" ht="13.5" customHeight="1">
      <c r="A551" s="18"/>
      <c r="B551" s="32"/>
      <c r="C551" s="46"/>
      <c r="D551" s="46"/>
      <c r="E551" s="46"/>
      <c r="F551" s="46"/>
      <c r="G551" s="46"/>
      <c r="H551" s="46"/>
      <c r="I551" s="46"/>
      <c r="J551" s="46"/>
      <c r="K551" s="46"/>
      <c r="L551" s="46"/>
      <c r="M551" s="46"/>
    </row>
    <row r="552" spans="1:14" ht="13.5" customHeight="1">
      <c r="A552" s="18"/>
      <c r="B552" s="32"/>
      <c r="C552" s="46"/>
      <c r="D552" s="46"/>
      <c r="E552" s="46"/>
      <c r="F552" s="46"/>
      <c r="G552" s="46"/>
      <c r="H552" s="46"/>
      <c r="I552" s="46"/>
      <c r="J552" s="46"/>
      <c r="K552" s="46"/>
      <c r="L552" s="46"/>
      <c r="M552" s="46"/>
    </row>
    <row r="553" spans="1:14" ht="20.25" customHeight="1">
      <c r="A553" s="53">
        <v>9</v>
      </c>
      <c r="B553" s="59" t="s">
        <v>219</v>
      </c>
      <c r="C553" s="2">
        <v>331</v>
      </c>
      <c r="D553" s="2">
        <v>156</v>
      </c>
      <c r="E553" s="2">
        <v>112</v>
      </c>
      <c r="F553" s="2">
        <f>D553-E553</f>
        <v>44</v>
      </c>
      <c r="G553" s="58">
        <f>SUM(H553:M553)</f>
        <v>2</v>
      </c>
      <c r="H553" s="2"/>
      <c r="I553" s="2"/>
      <c r="J553" s="2">
        <v>0</v>
      </c>
      <c r="K553" s="2"/>
      <c r="L553" s="2">
        <v>2</v>
      </c>
      <c r="M553" s="42">
        <v>0</v>
      </c>
      <c r="N553" s="22" t="s">
        <v>45</v>
      </c>
    </row>
    <row r="554" spans="1:14" ht="20.25" customHeight="1">
      <c r="A554" s="53"/>
      <c r="B554" s="142" t="s">
        <v>217</v>
      </c>
      <c r="C554" s="2">
        <v>290</v>
      </c>
      <c r="D554" s="2">
        <v>132</v>
      </c>
      <c r="E554" s="2">
        <v>86</v>
      </c>
      <c r="F554" s="2">
        <f>D554-E554</f>
        <v>46</v>
      </c>
      <c r="G554" s="58">
        <f>SUM(H554:M554)</f>
        <v>0</v>
      </c>
      <c r="H554" s="2"/>
      <c r="I554" s="2"/>
      <c r="J554" s="2">
        <v>0</v>
      </c>
      <c r="K554" s="2"/>
      <c r="L554" s="2">
        <v>0</v>
      </c>
      <c r="M554" s="42">
        <v>0</v>
      </c>
    </row>
    <row r="555" spans="1:14" s="41" customFormat="1" ht="17.25" customHeight="1">
      <c r="A555" s="53"/>
      <c r="B555" s="142"/>
      <c r="C555" s="1"/>
      <c r="D555" s="1"/>
      <c r="E555" s="1"/>
      <c r="F555" s="1"/>
      <c r="G555" s="202"/>
      <c r="H555" s="1"/>
      <c r="I555" s="1"/>
      <c r="J555" s="1"/>
      <c r="K555" s="1"/>
      <c r="L555" s="1"/>
      <c r="M555" s="14"/>
      <c r="N555" s="22"/>
    </row>
    <row r="556" spans="1:14" s="41" customFormat="1" ht="17.25" customHeight="1">
      <c r="A556" s="53"/>
      <c r="B556" s="142"/>
      <c r="C556" s="1"/>
      <c r="D556" s="1"/>
      <c r="E556" s="1"/>
      <c r="F556" s="1"/>
      <c r="G556" s="202"/>
      <c r="H556" s="1"/>
      <c r="I556" s="1"/>
      <c r="J556" s="1"/>
      <c r="K556" s="1"/>
      <c r="L556" s="1"/>
      <c r="M556" s="14"/>
      <c r="N556" s="22"/>
    </row>
    <row r="557" spans="1:14" s="41" customFormat="1" ht="71.25">
      <c r="A557" s="53">
        <v>10</v>
      </c>
      <c r="B557" s="59" t="s">
        <v>220</v>
      </c>
      <c r="C557" s="2">
        <v>9524</v>
      </c>
      <c r="D557" s="2">
        <v>14024</v>
      </c>
      <c r="E557" s="2">
        <v>8516</v>
      </c>
      <c r="F557" s="2">
        <f>D557-E557</f>
        <v>5508</v>
      </c>
      <c r="G557" s="58">
        <f>SUM(H557:M557)</f>
        <v>1000</v>
      </c>
      <c r="H557" s="2"/>
      <c r="I557" s="2"/>
      <c r="J557" s="2">
        <v>0</v>
      </c>
      <c r="K557" s="2"/>
      <c r="L557" s="2">
        <v>1000</v>
      </c>
      <c r="M557" s="42">
        <v>0</v>
      </c>
      <c r="N557" s="22" t="s">
        <v>45</v>
      </c>
    </row>
    <row r="558" spans="1:14" s="41" customFormat="1" ht="22.5" customHeight="1">
      <c r="A558" s="53"/>
      <c r="B558" s="142" t="s">
        <v>221</v>
      </c>
      <c r="C558" s="2">
        <v>8295</v>
      </c>
      <c r="D558" s="2">
        <v>12000</v>
      </c>
      <c r="E558" s="2">
        <v>6679</v>
      </c>
      <c r="F558" s="2">
        <f>D558-E558</f>
        <v>5321</v>
      </c>
      <c r="G558" s="58">
        <f>SUM(H558:M558)</f>
        <v>850</v>
      </c>
      <c r="H558" s="2"/>
      <c r="I558" s="2"/>
      <c r="J558" s="2">
        <v>0</v>
      </c>
      <c r="K558" s="2"/>
      <c r="L558" s="2">
        <v>850</v>
      </c>
      <c r="M558" s="42">
        <v>0</v>
      </c>
      <c r="N558" s="22"/>
    </row>
    <row r="559" spans="1:14" s="41" customFormat="1" ht="17.25" customHeight="1">
      <c r="A559" s="53"/>
      <c r="B559" s="142"/>
      <c r="C559" s="1"/>
      <c r="D559" s="1"/>
      <c r="E559" s="1"/>
      <c r="F559" s="1"/>
      <c r="G559" s="202"/>
      <c r="H559" s="1"/>
      <c r="I559" s="1"/>
      <c r="J559" s="1"/>
      <c r="K559" s="1"/>
      <c r="L559" s="1"/>
      <c r="M559" s="14"/>
      <c r="N559" s="22"/>
    </row>
    <row r="560" spans="1:14" s="41" customFormat="1" ht="17.25" customHeight="1">
      <c r="A560" s="53"/>
      <c r="B560" s="142"/>
      <c r="C560" s="1"/>
      <c r="D560" s="1"/>
      <c r="E560" s="1"/>
      <c r="F560" s="1"/>
      <c r="G560" s="202"/>
      <c r="H560" s="1"/>
      <c r="I560" s="1"/>
      <c r="J560" s="1"/>
      <c r="K560" s="1"/>
      <c r="L560" s="1"/>
      <c r="M560" s="14"/>
      <c r="N560" s="22"/>
    </row>
    <row r="561" spans="1:14" s="41" customFormat="1" ht="71.25">
      <c r="A561" s="53">
        <v>11</v>
      </c>
      <c r="B561" s="59" t="s">
        <v>222</v>
      </c>
      <c r="C561" s="2">
        <v>3288</v>
      </c>
      <c r="D561" s="2">
        <f>C561</f>
        <v>3288</v>
      </c>
      <c r="E561" s="2">
        <v>2271</v>
      </c>
      <c r="F561" s="2">
        <f>D561-E561</f>
        <v>1017</v>
      </c>
      <c r="G561" s="58">
        <f>SUM(H561:M561)</f>
        <v>1017</v>
      </c>
      <c r="H561" s="2"/>
      <c r="I561" s="2"/>
      <c r="J561" s="2">
        <v>0</v>
      </c>
      <c r="K561" s="2"/>
      <c r="L561" s="2">
        <v>1017</v>
      </c>
      <c r="M561" s="42">
        <v>0</v>
      </c>
      <c r="N561" s="22" t="s">
        <v>45</v>
      </c>
    </row>
    <row r="562" spans="1:14" s="41" customFormat="1" ht="17.25" customHeight="1">
      <c r="A562" s="53"/>
      <c r="B562" s="142" t="s">
        <v>223</v>
      </c>
      <c r="C562" s="2">
        <v>2812</v>
      </c>
      <c r="D562" s="2">
        <f>C562</f>
        <v>2812</v>
      </c>
      <c r="E562" s="2">
        <v>1731</v>
      </c>
      <c r="F562" s="2">
        <f>D562-E562</f>
        <v>1081</v>
      </c>
      <c r="G562" s="58">
        <f>SUM(H562:M562)</f>
        <v>900</v>
      </c>
      <c r="H562" s="2"/>
      <c r="I562" s="2"/>
      <c r="J562" s="2">
        <v>0</v>
      </c>
      <c r="K562" s="2"/>
      <c r="L562" s="2">
        <v>900</v>
      </c>
      <c r="M562" s="42">
        <v>0</v>
      </c>
      <c r="N562" s="22"/>
    </row>
    <row r="563" spans="1:14" s="41" customFormat="1" ht="17.25" customHeight="1">
      <c r="A563" s="53"/>
      <c r="B563" s="142"/>
      <c r="C563" s="1"/>
      <c r="D563" s="1"/>
      <c r="E563" s="1"/>
      <c r="F563" s="1"/>
      <c r="G563" s="202"/>
      <c r="H563" s="1"/>
      <c r="I563" s="1"/>
      <c r="J563" s="1"/>
      <c r="K563" s="1"/>
      <c r="L563" s="1"/>
      <c r="M563" s="14"/>
      <c r="N563" s="22"/>
    </row>
    <row r="564" spans="1:14" s="41" customFormat="1" ht="17.25" customHeight="1">
      <c r="A564" s="53"/>
      <c r="B564" s="142"/>
      <c r="C564" s="1"/>
      <c r="D564" s="1"/>
      <c r="E564" s="1"/>
      <c r="F564" s="1"/>
      <c r="G564" s="202"/>
      <c r="H564" s="1"/>
      <c r="I564" s="1"/>
      <c r="J564" s="1"/>
      <c r="K564" s="1"/>
      <c r="L564" s="1"/>
      <c r="M564" s="14"/>
      <c r="N564" s="22"/>
    </row>
    <row r="565" spans="1:14" s="41" customFormat="1" ht="26.25" customHeight="1">
      <c r="A565" s="53">
        <v>12</v>
      </c>
      <c r="B565" s="59" t="s">
        <v>224</v>
      </c>
      <c r="C565" s="2">
        <v>366</v>
      </c>
      <c r="D565" s="2">
        <f>C565</f>
        <v>366</v>
      </c>
      <c r="E565" s="2">
        <v>263</v>
      </c>
      <c r="F565" s="2">
        <f>D565-E565</f>
        <v>103</v>
      </c>
      <c r="G565" s="58">
        <f>SUM(H565:M565)</f>
        <v>2</v>
      </c>
      <c r="H565" s="2"/>
      <c r="I565" s="2"/>
      <c r="J565" s="2">
        <v>0</v>
      </c>
      <c r="K565" s="2"/>
      <c r="L565" s="2">
        <v>2</v>
      </c>
      <c r="M565" s="42">
        <v>0</v>
      </c>
      <c r="N565" s="22" t="s">
        <v>45</v>
      </c>
    </row>
    <row r="566" spans="1:14" s="41" customFormat="1" ht="17.25" customHeight="1">
      <c r="A566" s="53"/>
      <c r="B566" s="142" t="s">
        <v>225</v>
      </c>
      <c r="C566" s="2">
        <v>317</v>
      </c>
      <c r="D566" s="2">
        <f>C566</f>
        <v>317</v>
      </c>
      <c r="E566" s="2">
        <v>205</v>
      </c>
      <c r="F566" s="2">
        <f>D566-E566</f>
        <v>112</v>
      </c>
      <c r="G566" s="58">
        <f>SUM(H566:M566)</f>
        <v>0</v>
      </c>
      <c r="H566" s="2"/>
      <c r="I566" s="2"/>
      <c r="J566" s="2">
        <v>0</v>
      </c>
      <c r="K566" s="2"/>
      <c r="L566" s="2">
        <v>0</v>
      </c>
      <c r="M566" s="42">
        <v>0</v>
      </c>
      <c r="N566" s="22"/>
    </row>
    <row r="567" spans="1:14" s="41" customFormat="1" ht="17.25" customHeight="1">
      <c r="A567" s="53"/>
      <c r="B567" s="142"/>
      <c r="C567" s="1"/>
      <c r="D567" s="1"/>
      <c r="E567" s="1"/>
      <c r="F567" s="1"/>
      <c r="G567" s="202"/>
      <c r="H567" s="1"/>
      <c r="I567" s="1"/>
      <c r="J567" s="1"/>
      <c r="K567" s="1"/>
      <c r="L567" s="1"/>
      <c r="M567" s="14"/>
      <c r="N567" s="22"/>
    </row>
    <row r="568" spans="1:14" s="41" customFormat="1" ht="17.25" customHeight="1">
      <c r="A568" s="53"/>
      <c r="B568" s="142"/>
      <c r="C568" s="1"/>
      <c r="D568" s="1"/>
      <c r="E568" s="1"/>
      <c r="F568" s="1"/>
      <c r="G568" s="202"/>
      <c r="H568" s="1"/>
      <c r="I568" s="1"/>
      <c r="J568" s="1"/>
      <c r="K568" s="1"/>
      <c r="L568" s="1"/>
      <c r="M568" s="14"/>
      <c r="N568" s="22"/>
    </row>
    <row r="569" spans="1:14" ht="29.25" customHeight="1">
      <c r="A569" s="18" t="s">
        <v>35</v>
      </c>
      <c r="B569" s="34" t="s">
        <v>43</v>
      </c>
      <c r="C569" s="17">
        <f>C573+C577+C581+C585+C589+C593+C597+C601</f>
        <v>409136</v>
      </c>
      <c r="D569" s="17">
        <f t="shared" ref="D569:M569" si="65">D573+D577+D581+D585+D589+D593+D597+D601</f>
        <v>409136</v>
      </c>
      <c r="E569" s="17">
        <f t="shared" si="65"/>
        <v>393</v>
      </c>
      <c r="F569" s="17">
        <f t="shared" si="65"/>
        <v>408743</v>
      </c>
      <c r="G569" s="17">
        <f t="shared" si="65"/>
        <v>10871</v>
      </c>
      <c r="H569" s="17">
        <f t="shared" si="65"/>
        <v>0</v>
      </c>
      <c r="I569" s="17">
        <f t="shared" si="65"/>
        <v>0</v>
      </c>
      <c r="J569" s="17">
        <f t="shared" si="65"/>
        <v>0</v>
      </c>
      <c r="K569" s="17">
        <f t="shared" si="65"/>
        <v>0</v>
      </c>
      <c r="L569" s="17">
        <f t="shared" si="65"/>
        <v>10871</v>
      </c>
      <c r="M569" s="17">
        <f t="shared" si="65"/>
        <v>0</v>
      </c>
    </row>
    <row r="570" spans="1:14" ht="29.25" customHeight="1">
      <c r="A570" s="18"/>
      <c r="B570" s="35" t="s">
        <v>36</v>
      </c>
      <c r="C570" s="17">
        <f>C574+C578+C582+C586+C590+C594+C598+C602</f>
        <v>277558</v>
      </c>
      <c r="D570" s="17">
        <f t="shared" ref="D570:M570" si="66">D574+D578+D582+D586+D590+D594+D598+D602</f>
        <v>277558</v>
      </c>
      <c r="E570" s="17">
        <f t="shared" si="66"/>
        <v>0</v>
      </c>
      <c r="F570" s="17">
        <f t="shared" si="66"/>
        <v>277558</v>
      </c>
      <c r="G570" s="17">
        <f t="shared" si="66"/>
        <v>9377</v>
      </c>
      <c r="H570" s="17">
        <f t="shared" si="66"/>
        <v>0</v>
      </c>
      <c r="I570" s="17">
        <f t="shared" si="66"/>
        <v>0</v>
      </c>
      <c r="J570" s="17">
        <f t="shared" si="66"/>
        <v>0</v>
      </c>
      <c r="K570" s="17">
        <f t="shared" si="66"/>
        <v>0</v>
      </c>
      <c r="L570" s="17">
        <f t="shared" si="66"/>
        <v>9377</v>
      </c>
      <c r="M570" s="17">
        <f t="shared" si="66"/>
        <v>0</v>
      </c>
    </row>
    <row r="571" spans="1:14" ht="9" customHeight="1">
      <c r="A571" s="18"/>
      <c r="B571" s="32"/>
      <c r="C571" s="46"/>
      <c r="D571" s="46"/>
      <c r="E571" s="46"/>
      <c r="F571" s="46"/>
      <c r="G571" s="46"/>
      <c r="H571" s="46"/>
      <c r="I571" s="46"/>
      <c r="J571" s="46"/>
      <c r="K571" s="46"/>
      <c r="L571" s="46"/>
      <c r="M571" s="46"/>
    </row>
    <row r="572" spans="1:14" ht="9" customHeight="1">
      <c r="A572" s="18"/>
      <c r="B572" s="32"/>
      <c r="C572" s="46"/>
      <c r="D572" s="46"/>
      <c r="E572" s="46"/>
      <c r="F572" s="46"/>
      <c r="G572" s="46"/>
      <c r="H572" s="46"/>
      <c r="I572" s="46"/>
      <c r="J572" s="46"/>
      <c r="K572" s="46"/>
      <c r="L572" s="46"/>
      <c r="M572" s="46"/>
    </row>
    <row r="573" spans="1:14" ht="29.25" customHeight="1">
      <c r="A573" s="53">
        <v>1</v>
      </c>
      <c r="B573" s="59" t="s">
        <v>226</v>
      </c>
      <c r="C573" s="2">
        <v>238314</v>
      </c>
      <c r="D573" s="2">
        <f>C573</f>
        <v>238314</v>
      </c>
      <c r="E573" s="2">
        <v>0</v>
      </c>
      <c r="F573" s="2">
        <f>D573-E573</f>
        <v>238314</v>
      </c>
      <c r="G573" s="58">
        <f>SUM(H573:M573)</f>
        <v>10</v>
      </c>
      <c r="H573" s="2"/>
      <c r="I573" s="2"/>
      <c r="J573" s="2">
        <v>0</v>
      </c>
      <c r="K573" s="2"/>
      <c r="L573" s="2">
        <v>10</v>
      </c>
      <c r="M573" s="42">
        <v>0</v>
      </c>
      <c r="N573" s="22" t="s">
        <v>45</v>
      </c>
    </row>
    <row r="574" spans="1:14" ht="29.25" customHeight="1">
      <c r="A574" s="53"/>
      <c r="B574" s="142" t="s">
        <v>227</v>
      </c>
      <c r="C574" s="2">
        <v>142907</v>
      </c>
      <c r="D574" s="2">
        <f>C574</f>
        <v>142907</v>
      </c>
      <c r="E574" s="2">
        <v>0</v>
      </c>
      <c r="F574" s="2">
        <f>D574-E574</f>
        <v>142907</v>
      </c>
      <c r="G574" s="58">
        <f>SUM(H574:M574)</f>
        <v>0</v>
      </c>
      <c r="H574" s="2"/>
      <c r="I574" s="2"/>
      <c r="J574" s="2">
        <v>0</v>
      </c>
      <c r="K574" s="2"/>
      <c r="L574" s="2">
        <v>0</v>
      </c>
      <c r="M574" s="42">
        <v>0</v>
      </c>
    </row>
    <row r="575" spans="1:14" ht="19.5" customHeight="1">
      <c r="A575" s="53"/>
      <c r="B575" s="142"/>
      <c r="C575" s="1"/>
      <c r="D575" s="1"/>
      <c r="E575" s="1"/>
      <c r="F575" s="1"/>
      <c r="G575" s="202"/>
      <c r="H575" s="1"/>
      <c r="I575" s="1"/>
      <c r="J575" s="1"/>
      <c r="K575" s="1"/>
      <c r="L575" s="1"/>
      <c r="M575" s="14"/>
    </row>
    <row r="576" spans="1:14" ht="19.5" customHeight="1">
      <c r="A576" s="53"/>
      <c r="B576" s="142"/>
      <c r="C576" s="1"/>
      <c r="D576" s="1"/>
      <c r="E576" s="1"/>
      <c r="F576" s="1"/>
      <c r="G576" s="202"/>
      <c r="H576" s="1"/>
      <c r="I576" s="1"/>
      <c r="J576" s="1"/>
      <c r="K576" s="1"/>
      <c r="L576" s="1"/>
      <c r="M576" s="14"/>
    </row>
    <row r="577" spans="1:14" ht="57">
      <c r="A577" s="53">
        <v>2</v>
      </c>
      <c r="B577" s="59" t="s">
        <v>228</v>
      </c>
      <c r="C577" s="2">
        <v>384</v>
      </c>
      <c r="D577" s="2">
        <f>C577</f>
        <v>384</v>
      </c>
      <c r="E577" s="2">
        <v>0</v>
      </c>
      <c r="F577" s="2">
        <f>D577-E577</f>
        <v>384</v>
      </c>
      <c r="G577" s="58">
        <f>SUM(H577:M577)</f>
        <v>384</v>
      </c>
      <c r="H577" s="2"/>
      <c r="I577" s="2"/>
      <c r="J577" s="2">
        <v>0</v>
      </c>
      <c r="K577" s="2"/>
      <c r="L577" s="2">
        <v>384</v>
      </c>
      <c r="M577" s="42">
        <v>0</v>
      </c>
      <c r="N577" s="22" t="s">
        <v>45</v>
      </c>
    </row>
    <row r="578" spans="1:14" ht="18.75" customHeight="1">
      <c r="A578" s="53"/>
      <c r="B578" s="142" t="s">
        <v>229</v>
      </c>
      <c r="C578" s="2">
        <v>336</v>
      </c>
      <c r="D578" s="2">
        <f>C578</f>
        <v>336</v>
      </c>
      <c r="E578" s="2">
        <v>0</v>
      </c>
      <c r="F578" s="2">
        <f>D578-E578</f>
        <v>336</v>
      </c>
      <c r="G578" s="58">
        <f>SUM(H578:M578)</f>
        <v>336</v>
      </c>
      <c r="H578" s="2"/>
      <c r="I578" s="2"/>
      <c r="J578" s="2">
        <v>0</v>
      </c>
      <c r="K578" s="2"/>
      <c r="L578" s="2">
        <v>336</v>
      </c>
      <c r="M578" s="42">
        <v>0</v>
      </c>
    </row>
    <row r="579" spans="1:14" ht="12" customHeight="1">
      <c r="A579" s="53"/>
      <c r="B579" s="142"/>
      <c r="C579" s="1"/>
      <c r="D579" s="1"/>
      <c r="E579" s="1"/>
      <c r="F579" s="1"/>
      <c r="G579" s="202"/>
      <c r="H579" s="1"/>
      <c r="I579" s="1"/>
      <c r="J579" s="1"/>
      <c r="K579" s="1"/>
      <c r="L579" s="1"/>
      <c r="M579" s="14"/>
    </row>
    <row r="580" spans="1:14" ht="12" customHeight="1">
      <c r="A580" s="53"/>
      <c r="B580" s="142"/>
      <c r="C580" s="1"/>
      <c r="D580" s="1"/>
      <c r="E580" s="1"/>
      <c r="F580" s="1"/>
      <c r="G580" s="202"/>
      <c r="H580" s="1"/>
      <c r="I580" s="1"/>
      <c r="J580" s="1"/>
      <c r="K580" s="1"/>
      <c r="L580" s="1"/>
      <c r="M580" s="14"/>
    </row>
    <row r="581" spans="1:14" ht="57">
      <c r="A581" s="53">
        <v>3</v>
      </c>
      <c r="B581" s="59" t="s">
        <v>230</v>
      </c>
      <c r="C581" s="2">
        <v>68437</v>
      </c>
      <c r="D581" s="2">
        <f>C581</f>
        <v>68437</v>
      </c>
      <c r="E581" s="2">
        <v>0</v>
      </c>
      <c r="F581" s="2">
        <f>D581-E581</f>
        <v>68437</v>
      </c>
      <c r="G581" s="58">
        <f>SUM(H581:M581)</f>
        <v>500</v>
      </c>
      <c r="H581" s="2"/>
      <c r="I581" s="2"/>
      <c r="J581" s="2">
        <v>0</v>
      </c>
      <c r="K581" s="2"/>
      <c r="L581" s="2">
        <v>500</v>
      </c>
      <c r="M581" s="42">
        <v>0</v>
      </c>
      <c r="N581" s="22" t="s">
        <v>45</v>
      </c>
    </row>
    <row r="582" spans="1:14" ht="18.75" customHeight="1">
      <c r="A582" s="53"/>
      <c r="B582" s="142" t="s">
        <v>231</v>
      </c>
      <c r="C582" s="2">
        <v>58805</v>
      </c>
      <c r="D582" s="2">
        <f>C582</f>
        <v>58805</v>
      </c>
      <c r="E582" s="2">
        <v>0</v>
      </c>
      <c r="F582" s="2">
        <f>D582-E582</f>
        <v>58805</v>
      </c>
      <c r="G582" s="58">
        <f>SUM(H582:M582)</f>
        <v>0</v>
      </c>
      <c r="H582" s="2"/>
      <c r="I582" s="2"/>
      <c r="J582" s="2">
        <v>0</v>
      </c>
      <c r="K582" s="2"/>
      <c r="L582" s="2">
        <v>0</v>
      </c>
      <c r="M582" s="42">
        <v>0</v>
      </c>
    </row>
    <row r="583" spans="1:14" ht="12.75" customHeight="1">
      <c r="A583" s="53"/>
      <c r="B583" s="142"/>
      <c r="C583" s="1"/>
      <c r="D583" s="1"/>
      <c r="E583" s="1"/>
      <c r="F583" s="1"/>
      <c r="G583" s="202"/>
      <c r="H583" s="1"/>
      <c r="I583" s="1"/>
      <c r="J583" s="1"/>
      <c r="K583" s="1"/>
      <c r="L583" s="1"/>
      <c r="M583" s="14"/>
    </row>
    <row r="584" spans="1:14" ht="12.75" customHeight="1">
      <c r="A584" s="53"/>
      <c r="B584" s="142"/>
      <c r="C584" s="1"/>
      <c r="D584" s="1"/>
      <c r="E584" s="1"/>
      <c r="F584" s="1"/>
      <c r="G584" s="202"/>
      <c r="H584" s="1"/>
      <c r="I584" s="1"/>
      <c r="J584" s="1"/>
      <c r="K584" s="1"/>
      <c r="L584" s="1"/>
      <c r="M584" s="14"/>
    </row>
    <row r="585" spans="1:14" ht="42.75">
      <c r="A585" s="53">
        <v>4</v>
      </c>
      <c r="B585" s="59" t="s">
        <v>232</v>
      </c>
      <c r="C585" s="2">
        <v>71627</v>
      </c>
      <c r="D585" s="2">
        <f>C585</f>
        <v>71627</v>
      </c>
      <c r="E585" s="2">
        <v>393</v>
      </c>
      <c r="F585" s="2">
        <f>D585-E585</f>
        <v>71234</v>
      </c>
      <c r="G585" s="58">
        <f>SUM(H585:M585)</f>
        <v>500</v>
      </c>
      <c r="H585" s="2"/>
      <c r="I585" s="2"/>
      <c r="J585" s="2">
        <v>0</v>
      </c>
      <c r="K585" s="2"/>
      <c r="L585" s="2">
        <v>500</v>
      </c>
      <c r="M585" s="42">
        <v>0</v>
      </c>
      <c r="N585" s="22" t="s">
        <v>45</v>
      </c>
    </row>
    <row r="586" spans="1:14" ht="18.75" customHeight="1">
      <c r="A586" s="53"/>
      <c r="B586" s="142" t="s">
        <v>233</v>
      </c>
      <c r="C586" s="2">
        <v>53756</v>
      </c>
      <c r="D586" s="2">
        <f>C586</f>
        <v>53756</v>
      </c>
      <c r="E586" s="2">
        <v>0</v>
      </c>
      <c r="F586" s="2">
        <f>D586-E586</f>
        <v>53756</v>
      </c>
      <c r="G586" s="58">
        <f>SUM(H586:M586)</f>
        <v>485</v>
      </c>
      <c r="H586" s="2"/>
      <c r="I586" s="2"/>
      <c r="J586" s="2">
        <v>0</v>
      </c>
      <c r="K586" s="2"/>
      <c r="L586" s="2">
        <v>485</v>
      </c>
      <c r="M586" s="42">
        <v>0</v>
      </c>
    </row>
    <row r="587" spans="1:14" ht="12.75" customHeight="1">
      <c r="A587" s="53"/>
      <c r="B587" s="142"/>
      <c r="C587" s="1"/>
      <c r="D587" s="1"/>
      <c r="E587" s="1"/>
      <c r="F587" s="1"/>
      <c r="G587" s="202"/>
      <c r="H587" s="1"/>
      <c r="I587" s="1"/>
      <c r="J587" s="1"/>
      <c r="K587" s="1"/>
      <c r="L587" s="1"/>
      <c r="M587" s="14"/>
    </row>
    <row r="588" spans="1:14" ht="12.75" customHeight="1">
      <c r="A588" s="53"/>
      <c r="B588" s="142"/>
      <c r="C588" s="1"/>
      <c r="D588" s="1"/>
      <c r="E588" s="1"/>
      <c r="F588" s="1"/>
      <c r="G588" s="202"/>
      <c r="H588" s="1"/>
      <c r="I588" s="1"/>
      <c r="J588" s="1"/>
      <c r="K588" s="1"/>
      <c r="L588" s="1"/>
      <c r="M588" s="14"/>
    </row>
    <row r="589" spans="1:14" ht="42.75">
      <c r="A589" s="53">
        <v>5</v>
      </c>
      <c r="B589" s="59" t="s">
        <v>234</v>
      </c>
      <c r="C589" s="2">
        <v>18017</v>
      </c>
      <c r="D589" s="2">
        <f>C589</f>
        <v>18017</v>
      </c>
      <c r="E589" s="2">
        <v>0</v>
      </c>
      <c r="F589" s="2">
        <f>D589-E589</f>
        <v>18017</v>
      </c>
      <c r="G589" s="58">
        <f>SUM(H589:M589)</f>
        <v>500</v>
      </c>
      <c r="H589" s="2"/>
      <c r="I589" s="2"/>
      <c r="J589" s="2">
        <v>0</v>
      </c>
      <c r="K589" s="2"/>
      <c r="L589" s="2">
        <v>500</v>
      </c>
      <c r="M589" s="42">
        <v>0</v>
      </c>
      <c r="N589" s="22" t="s">
        <v>45</v>
      </c>
    </row>
    <row r="590" spans="1:14" ht="21.75" customHeight="1">
      <c r="A590" s="53"/>
      <c r="B590" s="142" t="s">
        <v>235</v>
      </c>
      <c r="C590" s="2">
        <v>12182</v>
      </c>
      <c r="D590" s="2">
        <f>C590</f>
        <v>12182</v>
      </c>
      <c r="E590" s="2">
        <v>0</v>
      </c>
      <c r="F590" s="2">
        <f>D590-E590</f>
        <v>12182</v>
      </c>
      <c r="G590" s="58">
        <f>SUM(H590:M590)</f>
        <v>485</v>
      </c>
      <c r="H590" s="2"/>
      <c r="I590" s="2"/>
      <c r="J590" s="2">
        <v>0</v>
      </c>
      <c r="K590" s="2"/>
      <c r="L590" s="2">
        <v>485</v>
      </c>
      <c r="M590" s="42">
        <v>0</v>
      </c>
    </row>
    <row r="591" spans="1:14" ht="17.25" customHeight="1">
      <c r="A591" s="53"/>
      <c r="B591" s="142"/>
      <c r="C591" s="1"/>
      <c r="D591" s="1"/>
      <c r="E591" s="1"/>
      <c r="F591" s="1"/>
      <c r="G591" s="202"/>
      <c r="H591" s="1"/>
      <c r="I591" s="1"/>
      <c r="J591" s="1"/>
      <c r="K591" s="1"/>
      <c r="L591" s="1"/>
      <c r="M591" s="14"/>
    </row>
    <row r="592" spans="1:14" ht="17.25" customHeight="1">
      <c r="A592" s="53"/>
      <c r="B592" s="142"/>
      <c r="C592" s="1"/>
      <c r="D592" s="1"/>
      <c r="E592" s="1"/>
      <c r="F592" s="1"/>
      <c r="G592" s="202"/>
      <c r="H592" s="1"/>
      <c r="I592" s="1"/>
      <c r="J592" s="1"/>
      <c r="K592" s="1"/>
      <c r="L592" s="1"/>
      <c r="M592" s="14"/>
    </row>
    <row r="593" spans="1:14" ht="71.25">
      <c r="A593" s="53">
        <v>6</v>
      </c>
      <c r="B593" s="59" t="s">
        <v>236</v>
      </c>
      <c r="C593" s="2">
        <v>6380</v>
      </c>
      <c r="D593" s="2">
        <f>C593</f>
        <v>6380</v>
      </c>
      <c r="E593" s="2">
        <v>0</v>
      </c>
      <c r="F593" s="2">
        <f>D593-E593</f>
        <v>6380</v>
      </c>
      <c r="G593" s="58">
        <f>SUM(H593:M593)</f>
        <v>3000</v>
      </c>
      <c r="H593" s="2"/>
      <c r="I593" s="2"/>
      <c r="J593" s="2">
        <v>0</v>
      </c>
      <c r="K593" s="2"/>
      <c r="L593" s="2">
        <v>3000</v>
      </c>
      <c r="M593" s="42">
        <v>0</v>
      </c>
      <c r="N593" s="22" t="s">
        <v>45</v>
      </c>
    </row>
    <row r="594" spans="1:14" ht="24.75" customHeight="1">
      <c r="A594" s="53"/>
      <c r="B594" s="142" t="s">
        <v>237</v>
      </c>
      <c r="C594" s="2">
        <v>4351</v>
      </c>
      <c r="D594" s="2">
        <f>C594</f>
        <v>4351</v>
      </c>
      <c r="E594" s="2">
        <v>0</v>
      </c>
      <c r="F594" s="2">
        <f>D594-E594</f>
        <v>4351</v>
      </c>
      <c r="G594" s="58">
        <f>SUM(H594:M594)</f>
        <v>2850</v>
      </c>
      <c r="H594" s="2"/>
      <c r="I594" s="2"/>
      <c r="J594" s="2">
        <v>0</v>
      </c>
      <c r="K594" s="2"/>
      <c r="L594" s="2">
        <v>2850</v>
      </c>
      <c r="M594" s="42">
        <v>0</v>
      </c>
    </row>
    <row r="595" spans="1:14" ht="16.5" customHeight="1">
      <c r="A595" s="53"/>
      <c r="B595" s="142"/>
      <c r="C595" s="1"/>
      <c r="D595" s="1"/>
      <c r="E595" s="1"/>
      <c r="F595" s="1"/>
      <c r="G595" s="202"/>
      <c r="H595" s="1"/>
      <c r="I595" s="1"/>
      <c r="J595" s="1"/>
      <c r="K595" s="1"/>
      <c r="L595" s="1"/>
      <c r="M595" s="14"/>
    </row>
    <row r="596" spans="1:14" ht="16.5" customHeight="1">
      <c r="A596" s="53"/>
      <c r="B596" s="142"/>
      <c r="C596" s="1"/>
      <c r="D596" s="1"/>
      <c r="E596" s="1"/>
      <c r="F596" s="1"/>
      <c r="G596" s="202"/>
      <c r="H596" s="1"/>
      <c r="I596" s="1"/>
      <c r="J596" s="1"/>
      <c r="K596" s="1"/>
      <c r="L596" s="1"/>
      <c r="M596" s="14"/>
    </row>
    <row r="597" spans="1:14" ht="42.75">
      <c r="A597" s="53">
        <v>7</v>
      </c>
      <c r="B597" s="59" t="s">
        <v>238</v>
      </c>
      <c r="C597" s="2">
        <v>5171</v>
      </c>
      <c r="D597" s="2">
        <f>C597</f>
        <v>5171</v>
      </c>
      <c r="E597" s="2">
        <v>0</v>
      </c>
      <c r="F597" s="2">
        <f>D597-E597</f>
        <v>5171</v>
      </c>
      <c r="G597" s="58">
        <f>SUM(H597:M597)</f>
        <v>5171</v>
      </c>
      <c r="H597" s="2"/>
      <c r="I597" s="2"/>
      <c r="J597" s="2">
        <v>0</v>
      </c>
      <c r="K597" s="2"/>
      <c r="L597" s="2">
        <v>5171</v>
      </c>
      <c r="M597" s="42">
        <v>0</v>
      </c>
      <c r="N597" s="22" t="s">
        <v>45</v>
      </c>
    </row>
    <row r="598" spans="1:14" ht="19.5" customHeight="1">
      <c r="A598" s="53"/>
      <c r="B598" s="142" t="s">
        <v>239</v>
      </c>
      <c r="C598" s="2">
        <v>4514</v>
      </c>
      <c r="D598" s="2">
        <f>C598</f>
        <v>4514</v>
      </c>
      <c r="E598" s="2">
        <v>0</v>
      </c>
      <c r="F598" s="2">
        <f>D598-E598</f>
        <v>4514</v>
      </c>
      <c r="G598" s="58">
        <f>SUM(H598:M598)</f>
        <v>4514</v>
      </c>
      <c r="H598" s="2"/>
      <c r="I598" s="2"/>
      <c r="J598" s="2">
        <v>0</v>
      </c>
      <c r="K598" s="2"/>
      <c r="L598" s="2">
        <v>4514</v>
      </c>
      <c r="M598" s="42">
        <v>0</v>
      </c>
    </row>
    <row r="599" spans="1:14" ht="13.5" customHeight="1">
      <c r="A599" s="53"/>
      <c r="B599" s="142"/>
      <c r="C599" s="1"/>
      <c r="D599" s="1"/>
      <c r="E599" s="1"/>
      <c r="F599" s="1"/>
      <c r="G599" s="202"/>
      <c r="H599" s="1"/>
      <c r="I599" s="1"/>
      <c r="J599" s="1"/>
      <c r="K599" s="1"/>
      <c r="L599" s="1"/>
      <c r="M599" s="14"/>
    </row>
    <row r="600" spans="1:14" ht="13.5" customHeight="1">
      <c r="A600" s="53"/>
      <c r="B600" s="142"/>
      <c r="C600" s="1"/>
      <c r="D600" s="1"/>
      <c r="E600" s="1"/>
      <c r="F600" s="1"/>
      <c r="G600" s="202"/>
      <c r="H600" s="1"/>
      <c r="I600" s="1"/>
      <c r="J600" s="1"/>
      <c r="K600" s="1"/>
      <c r="L600" s="1"/>
      <c r="M600" s="14"/>
    </row>
    <row r="601" spans="1:14" ht="24" customHeight="1">
      <c r="A601" s="53">
        <v>8</v>
      </c>
      <c r="B601" s="59" t="s">
        <v>240</v>
      </c>
      <c r="C601" s="2">
        <v>806</v>
      </c>
      <c r="D601" s="2">
        <f>C601</f>
        <v>806</v>
      </c>
      <c r="E601" s="2">
        <v>0</v>
      </c>
      <c r="F601" s="2">
        <f>D601-E601</f>
        <v>806</v>
      </c>
      <c r="G601" s="58">
        <f>SUM(H601:M601)</f>
        <v>806</v>
      </c>
      <c r="H601" s="2"/>
      <c r="I601" s="2"/>
      <c r="J601" s="2">
        <v>0</v>
      </c>
      <c r="K601" s="2"/>
      <c r="L601" s="2">
        <v>806</v>
      </c>
      <c r="M601" s="42">
        <v>0</v>
      </c>
      <c r="N601" s="22" t="s">
        <v>45</v>
      </c>
    </row>
    <row r="602" spans="1:14" ht="19.5" customHeight="1">
      <c r="A602" s="53"/>
      <c r="B602" s="142" t="s">
        <v>225</v>
      </c>
      <c r="C602" s="2">
        <v>707</v>
      </c>
      <c r="D602" s="2">
        <f>C602</f>
        <v>707</v>
      </c>
      <c r="E602" s="2">
        <v>0</v>
      </c>
      <c r="F602" s="2">
        <f>D602-E602</f>
        <v>707</v>
      </c>
      <c r="G602" s="58">
        <f>SUM(H602:M602)</f>
        <v>707</v>
      </c>
      <c r="H602" s="2"/>
      <c r="I602" s="2"/>
      <c r="J602" s="2">
        <v>0</v>
      </c>
      <c r="K602" s="2"/>
      <c r="L602" s="2">
        <v>707</v>
      </c>
      <c r="M602" s="42">
        <v>0</v>
      </c>
    </row>
    <row r="603" spans="1:14" ht="17.25" customHeight="1">
      <c r="A603" s="18"/>
      <c r="B603" s="32"/>
      <c r="C603" s="46"/>
      <c r="D603" s="46"/>
      <c r="E603" s="46"/>
      <c r="F603" s="46"/>
      <c r="G603" s="46"/>
      <c r="H603" s="46"/>
      <c r="I603" s="46"/>
      <c r="J603" s="46"/>
      <c r="K603" s="46"/>
      <c r="L603" s="46"/>
      <c r="M603" s="46"/>
    </row>
    <row r="604" spans="1:14" ht="17.25" customHeight="1">
      <c r="A604" s="18"/>
      <c r="B604" s="32"/>
      <c r="C604" s="46"/>
      <c r="D604" s="46"/>
      <c r="E604" s="46"/>
      <c r="F604" s="46"/>
      <c r="G604" s="46"/>
      <c r="H604" s="46"/>
      <c r="I604" s="46"/>
      <c r="J604" s="46"/>
      <c r="K604" s="46"/>
      <c r="L604" s="46"/>
      <c r="M604" s="46"/>
    </row>
    <row r="605" spans="1:14" ht="24.75" customHeight="1">
      <c r="A605" s="18" t="s">
        <v>37</v>
      </c>
      <c r="B605" s="34" t="s">
        <v>128</v>
      </c>
      <c r="C605" s="17">
        <f>C609+C610+C611</f>
        <v>100764</v>
      </c>
      <c r="D605" s="17">
        <f t="shared" ref="D605:M605" si="67">D609+D610+D611</f>
        <v>101267</v>
      </c>
      <c r="E605" s="17">
        <f t="shared" si="67"/>
        <v>11119</v>
      </c>
      <c r="F605" s="17">
        <f t="shared" si="67"/>
        <v>90148</v>
      </c>
      <c r="G605" s="17">
        <f t="shared" si="67"/>
        <v>21269</v>
      </c>
      <c r="H605" s="17">
        <f t="shared" si="67"/>
        <v>11204</v>
      </c>
      <c r="I605" s="17">
        <f t="shared" si="67"/>
        <v>480</v>
      </c>
      <c r="J605" s="17">
        <f t="shared" si="67"/>
        <v>13</v>
      </c>
      <c r="K605" s="17">
        <f t="shared" si="67"/>
        <v>0</v>
      </c>
      <c r="L605" s="17">
        <f t="shared" si="67"/>
        <v>9572</v>
      </c>
      <c r="M605" s="17">
        <f t="shared" si="67"/>
        <v>0</v>
      </c>
    </row>
    <row r="606" spans="1:14" ht="24.75" customHeight="1">
      <c r="A606" s="18"/>
      <c r="B606" s="35" t="s">
        <v>61</v>
      </c>
      <c r="C606" s="2">
        <v>0</v>
      </c>
      <c r="D606" s="2">
        <v>0</v>
      </c>
      <c r="E606" s="2">
        <v>0</v>
      </c>
      <c r="F606" s="2">
        <v>0</v>
      </c>
      <c r="G606" s="17">
        <v>0</v>
      </c>
      <c r="H606" s="2">
        <v>0</v>
      </c>
      <c r="I606" s="2">
        <v>0</v>
      </c>
      <c r="J606" s="2">
        <v>0</v>
      </c>
      <c r="K606" s="2">
        <v>0</v>
      </c>
      <c r="L606" s="2">
        <v>0</v>
      </c>
      <c r="M606" s="2">
        <v>0</v>
      </c>
    </row>
    <row r="607" spans="1:14" ht="15.75">
      <c r="A607" s="43"/>
      <c r="B607" s="16" t="s">
        <v>42</v>
      </c>
      <c r="C607" s="1"/>
      <c r="D607" s="1"/>
      <c r="E607" s="1"/>
      <c r="F607" s="1"/>
      <c r="G607" s="46"/>
      <c r="H607" s="1"/>
      <c r="I607" s="1"/>
      <c r="J607" s="1"/>
      <c r="K607" s="1"/>
      <c r="L607" s="1"/>
      <c r="M607" s="1"/>
    </row>
    <row r="608" spans="1:14" ht="15.75">
      <c r="A608" s="43"/>
      <c r="B608" s="16"/>
      <c r="C608" s="1"/>
      <c r="D608" s="1"/>
      <c r="E608" s="1"/>
      <c r="F608" s="1"/>
      <c r="G608" s="46"/>
      <c r="H608" s="1"/>
      <c r="I608" s="1"/>
      <c r="J608" s="1"/>
      <c r="K608" s="1"/>
      <c r="L608" s="1"/>
      <c r="M608" s="1"/>
    </row>
    <row r="609" spans="1:13" ht="21" customHeight="1">
      <c r="A609" s="43"/>
      <c r="B609" s="23" t="s">
        <v>129</v>
      </c>
      <c r="C609" s="1">
        <f>'A3 - STUDII SI PROIECTE 2024'!D232</f>
        <v>12529</v>
      </c>
      <c r="D609" s="1">
        <f>'A3 - STUDII SI PROIECTE 2024'!E232</f>
        <v>12529</v>
      </c>
      <c r="E609" s="1">
        <f>'A3 - STUDII SI PROIECTE 2024'!F232</f>
        <v>4366</v>
      </c>
      <c r="F609" s="1">
        <f>'A3 - STUDII SI PROIECTE 2024'!G232</f>
        <v>8163</v>
      </c>
      <c r="G609" s="46">
        <f>'A3 - STUDII SI PROIECTE 2024'!H232</f>
        <v>8163</v>
      </c>
      <c r="H609" s="1">
        <f>'A3 - STUDII SI PROIECTE 2024'!I232</f>
        <v>200</v>
      </c>
      <c r="I609" s="1">
        <f>'A3 - STUDII SI PROIECTE 2024'!J232</f>
        <v>0</v>
      </c>
      <c r="J609" s="1">
        <f>'A3 - STUDII SI PROIECTE 2024'!K232</f>
        <v>0</v>
      </c>
      <c r="K609" s="1">
        <f>'A3 - STUDII SI PROIECTE 2024'!L232</f>
        <v>0</v>
      </c>
      <c r="L609" s="1">
        <f>'A3 - STUDII SI PROIECTE 2024'!M232</f>
        <v>7963</v>
      </c>
      <c r="M609" s="1">
        <f>'A3 - STUDII SI PROIECTE 2024'!N232</f>
        <v>0</v>
      </c>
    </row>
    <row r="610" spans="1:13" ht="21" customHeight="1">
      <c r="A610" s="43"/>
      <c r="B610" s="23" t="s">
        <v>155</v>
      </c>
      <c r="C610" s="1">
        <f>'A3 - DOTARI 2024'!D153</f>
        <v>82077</v>
      </c>
      <c r="D610" s="1">
        <f>'A3 - DOTARI 2024'!E153</f>
        <v>82580</v>
      </c>
      <c r="E610" s="1">
        <f>'A3 - DOTARI 2024'!F153</f>
        <v>2142</v>
      </c>
      <c r="F610" s="1">
        <f>'A3 - DOTARI 2024'!G153</f>
        <v>80438</v>
      </c>
      <c r="G610" s="46">
        <f>'A3 - DOTARI 2024'!H153</f>
        <v>11559</v>
      </c>
      <c r="H610" s="1">
        <f>'A3 - DOTARI 2024'!I153</f>
        <v>11004</v>
      </c>
      <c r="I610" s="1">
        <f>'A3 - DOTARI 2024'!J153</f>
        <v>480</v>
      </c>
      <c r="J610" s="1">
        <f>'A3 - DOTARI 2024'!K153</f>
        <v>13</v>
      </c>
      <c r="K610" s="1">
        <f>'A3 - DOTARI 2024'!L153</f>
        <v>0</v>
      </c>
      <c r="L610" s="1">
        <f>'A3 - DOTARI 2024'!M153</f>
        <v>62</v>
      </c>
      <c r="M610" s="1">
        <f>'A3 - DOTARI 2024'!N153</f>
        <v>0</v>
      </c>
    </row>
    <row r="611" spans="1:13" ht="21" customHeight="1">
      <c r="A611" s="43"/>
      <c r="B611" s="23" t="s">
        <v>130</v>
      </c>
      <c r="C611" s="1">
        <f>'A3 - ALTE CHELTUIELI 2024'!D71</f>
        <v>6158</v>
      </c>
      <c r="D611" s="1">
        <f>'A3 - ALTE CHELTUIELI 2024'!E71</f>
        <v>6158</v>
      </c>
      <c r="E611" s="1">
        <f>'A3 - ALTE CHELTUIELI 2024'!F71</f>
        <v>4611</v>
      </c>
      <c r="F611" s="1">
        <f>'A3 - ALTE CHELTUIELI 2024'!G71</f>
        <v>1547</v>
      </c>
      <c r="G611" s="1">
        <f>'A3 - ALTE CHELTUIELI 2024'!H71</f>
        <v>1547</v>
      </c>
      <c r="H611" s="1">
        <f>'A3 - ALTE CHELTUIELI 2024'!I71</f>
        <v>0</v>
      </c>
      <c r="I611" s="1">
        <f>'A3 - ALTE CHELTUIELI 2024'!J71</f>
        <v>0</v>
      </c>
      <c r="J611" s="1">
        <f>'A3 - ALTE CHELTUIELI 2024'!K71</f>
        <v>0</v>
      </c>
      <c r="K611" s="1">
        <f>'A3 - ALTE CHELTUIELI 2024'!L71</f>
        <v>0</v>
      </c>
      <c r="L611" s="1">
        <f>'A3 - ALTE CHELTUIELI 2024'!M71</f>
        <v>1547</v>
      </c>
      <c r="M611" s="1">
        <f>'A3 - ALTE CHELTUIELI 2024'!N71</f>
        <v>0</v>
      </c>
    </row>
    <row r="612" spans="1:13" ht="21" hidden="1" customHeight="1">
      <c r="A612" s="43"/>
      <c r="B612" s="23"/>
      <c r="C612" s="1"/>
      <c r="D612" s="1"/>
      <c r="E612" s="1"/>
      <c r="F612" s="1"/>
      <c r="G612" s="46"/>
      <c r="H612" s="1"/>
      <c r="I612" s="1"/>
      <c r="J612" s="1"/>
      <c r="K612" s="1"/>
      <c r="L612" s="1"/>
      <c r="M612" s="1"/>
    </row>
    <row r="613" spans="1:13" ht="21" hidden="1" customHeight="1">
      <c r="A613" s="43"/>
      <c r="B613" s="23"/>
      <c r="C613" s="1"/>
      <c r="D613" s="1"/>
      <c r="E613" s="1"/>
      <c r="F613" s="1"/>
      <c r="G613" s="46"/>
      <c r="H613" s="1"/>
      <c r="I613" s="1"/>
      <c r="J613" s="1"/>
      <c r="K613" s="1"/>
      <c r="L613" s="1"/>
      <c r="M613" s="1"/>
    </row>
    <row r="614" spans="1:13" ht="21" hidden="1" customHeight="1">
      <c r="A614" s="43"/>
      <c r="B614" s="23"/>
      <c r="C614" s="1"/>
      <c r="D614" s="1"/>
      <c r="E614" s="1"/>
      <c r="F614" s="1"/>
      <c r="G614" s="46"/>
      <c r="H614" s="1"/>
      <c r="I614" s="1"/>
      <c r="J614" s="1"/>
      <c r="K614" s="1"/>
      <c r="L614" s="1"/>
      <c r="M614" s="1"/>
    </row>
    <row r="615" spans="1:13" ht="21" hidden="1" customHeight="1">
      <c r="A615" s="43"/>
      <c r="B615" s="23"/>
      <c r="C615" s="1"/>
      <c r="D615" s="1"/>
      <c r="E615" s="1"/>
      <c r="F615" s="1"/>
      <c r="G615" s="46"/>
      <c r="H615" s="1"/>
      <c r="I615" s="1"/>
      <c r="J615" s="1"/>
      <c r="K615" s="1"/>
      <c r="L615" s="1"/>
      <c r="M615" s="1"/>
    </row>
    <row r="616" spans="1:13" ht="21" hidden="1" customHeight="1">
      <c r="A616" s="43"/>
      <c r="B616" s="23"/>
      <c r="C616" s="1"/>
      <c r="D616" s="1"/>
      <c r="E616" s="1"/>
      <c r="F616" s="1"/>
      <c r="G616" s="46"/>
      <c r="H616" s="1"/>
      <c r="I616" s="1"/>
      <c r="J616" s="1"/>
      <c r="K616" s="1"/>
      <c r="L616" s="1"/>
      <c r="M616" s="1"/>
    </row>
    <row r="617" spans="1:13" ht="21" hidden="1" customHeight="1">
      <c r="A617" s="43"/>
      <c r="B617" s="23"/>
      <c r="C617" s="1"/>
      <c r="D617" s="1"/>
      <c r="E617" s="1"/>
      <c r="F617" s="1"/>
      <c r="G617" s="1"/>
      <c r="H617" s="1"/>
      <c r="I617" s="1"/>
      <c r="J617" s="1"/>
      <c r="K617" s="1"/>
      <c r="L617" s="1"/>
      <c r="M617" s="1"/>
    </row>
    <row r="618" spans="1:13" ht="21" hidden="1" customHeight="1">
      <c r="A618" s="43"/>
      <c r="B618" s="23"/>
      <c r="C618" s="1"/>
      <c r="D618" s="1"/>
      <c r="E618" s="1"/>
      <c r="F618" s="1"/>
      <c r="G618" s="1"/>
      <c r="H618" s="1"/>
      <c r="I618" s="1"/>
      <c r="J618" s="1"/>
      <c r="K618" s="1"/>
      <c r="L618" s="1"/>
      <c r="M618" s="1"/>
    </row>
    <row r="619" spans="1:13" ht="21" hidden="1" customHeight="1">
      <c r="A619" s="43"/>
      <c r="B619" s="23"/>
      <c r="C619" s="1"/>
      <c r="D619" s="1"/>
      <c r="E619" s="1"/>
      <c r="F619" s="1"/>
      <c r="G619" s="1"/>
      <c r="H619" s="1"/>
      <c r="I619" s="1"/>
      <c r="J619" s="1"/>
      <c r="K619" s="1"/>
      <c r="L619" s="1"/>
      <c r="M619" s="1"/>
    </row>
    <row r="620" spans="1:13" ht="39.75" hidden="1" customHeight="1">
      <c r="A620" s="12"/>
      <c r="B620" s="255" t="s">
        <v>241</v>
      </c>
      <c r="C620" s="13" t="s">
        <v>242</v>
      </c>
      <c r="D620" s="14"/>
      <c r="E620" s="14"/>
      <c r="F620" s="14"/>
      <c r="G620" s="1"/>
      <c r="H620" s="1"/>
      <c r="I620" s="1"/>
      <c r="J620" s="1"/>
      <c r="K620" s="1"/>
      <c r="L620" s="1"/>
      <c r="M620" s="1" t="s">
        <v>41</v>
      </c>
    </row>
    <row r="621" spans="1:13" ht="21" hidden="1" customHeight="1">
      <c r="A621" s="15"/>
      <c r="B621" s="16" t="s">
        <v>42</v>
      </c>
      <c r="C621" s="33">
        <f>C624+C627+C630</f>
        <v>0</v>
      </c>
      <c r="D621" s="33">
        <f t="shared" ref="D621:M621" si="68">D624+D627+D630</f>
        <v>0</v>
      </c>
      <c r="E621" s="33">
        <f t="shared" si="68"/>
        <v>0</v>
      </c>
      <c r="F621" s="33">
        <f t="shared" si="68"/>
        <v>0</v>
      </c>
      <c r="G621" s="33">
        <f t="shared" si="68"/>
        <v>0</v>
      </c>
      <c r="H621" s="33">
        <f t="shared" si="68"/>
        <v>0</v>
      </c>
      <c r="I621" s="33">
        <f t="shared" si="68"/>
        <v>0</v>
      </c>
      <c r="J621" s="33">
        <f t="shared" si="68"/>
        <v>0</v>
      </c>
      <c r="K621" s="33">
        <f t="shared" si="68"/>
        <v>0</v>
      </c>
      <c r="L621" s="33">
        <f t="shared" si="68"/>
        <v>0</v>
      </c>
      <c r="M621" s="33">
        <f t="shared" si="68"/>
        <v>0</v>
      </c>
    </row>
    <row r="622" spans="1:13" ht="21" hidden="1" customHeight="1">
      <c r="A622" s="18"/>
      <c r="B622" s="16"/>
      <c r="C622" s="33">
        <f>C625+C628+C631</f>
        <v>0</v>
      </c>
      <c r="D622" s="33">
        <f t="shared" ref="D622:M622" si="69">D625+D628+D631</f>
        <v>0</v>
      </c>
      <c r="E622" s="33">
        <f t="shared" si="69"/>
        <v>0</v>
      </c>
      <c r="F622" s="33">
        <f t="shared" si="69"/>
        <v>0</v>
      </c>
      <c r="G622" s="33">
        <f t="shared" si="69"/>
        <v>0</v>
      </c>
      <c r="H622" s="33">
        <f t="shared" si="69"/>
        <v>0</v>
      </c>
      <c r="I622" s="33">
        <f t="shared" si="69"/>
        <v>0</v>
      </c>
      <c r="J622" s="33">
        <f t="shared" si="69"/>
        <v>0</v>
      </c>
      <c r="K622" s="33">
        <f t="shared" si="69"/>
        <v>0</v>
      </c>
      <c r="L622" s="33">
        <f t="shared" si="69"/>
        <v>0</v>
      </c>
      <c r="M622" s="33">
        <f t="shared" si="69"/>
        <v>0</v>
      </c>
    </row>
    <row r="623" spans="1:13" ht="16.5" hidden="1" customHeight="1">
      <c r="A623" s="12"/>
      <c r="C623" s="14"/>
      <c r="D623" s="14"/>
      <c r="E623" s="14"/>
      <c r="F623" s="14"/>
      <c r="G623" s="236"/>
      <c r="H623" s="14"/>
      <c r="I623" s="14"/>
      <c r="J623" s="14"/>
      <c r="K623" s="14"/>
      <c r="L623" s="14"/>
      <c r="M623" s="14"/>
    </row>
    <row r="624" spans="1:13" ht="16.5" hidden="1" customHeight="1">
      <c r="A624" s="18" t="s">
        <v>32</v>
      </c>
      <c r="B624" s="34" t="s">
        <v>33</v>
      </c>
      <c r="C624" s="42">
        <v>0</v>
      </c>
      <c r="D624" s="42">
        <v>0</v>
      </c>
      <c r="E624" s="42">
        <v>0</v>
      </c>
      <c r="F624" s="42">
        <f>D624-E624</f>
        <v>0</v>
      </c>
      <c r="G624" s="42">
        <f>SUM(H624:M624)</f>
        <v>0</v>
      </c>
      <c r="H624" s="42">
        <v>0</v>
      </c>
      <c r="I624" s="42">
        <v>0</v>
      </c>
      <c r="J624" s="42">
        <v>0</v>
      </c>
      <c r="K624" s="42">
        <v>0</v>
      </c>
      <c r="L624" s="42">
        <v>0</v>
      </c>
      <c r="M624" s="42">
        <v>0</v>
      </c>
    </row>
    <row r="625" spans="1:14" ht="16.5" hidden="1" customHeight="1">
      <c r="A625" s="18"/>
      <c r="B625" s="35" t="s">
        <v>34</v>
      </c>
      <c r="C625" s="42">
        <v>0</v>
      </c>
      <c r="D625" s="42">
        <v>0</v>
      </c>
      <c r="E625" s="42">
        <v>0</v>
      </c>
      <c r="F625" s="42">
        <f>D625-E625</f>
        <v>0</v>
      </c>
      <c r="G625" s="42">
        <f>SUM(H625:M625)</f>
        <v>0</v>
      </c>
      <c r="H625" s="42">
        <v>0</v>
      </c>
      <c r="I625" s="42">
        <v>0</v>
      </c>
      <c r="J625" s="42">
        <v>0</v>
      </c>
      <c r="K625" s="42">
        <v>0</v>
      </c>
      <c r="L625" s="42">
        <v>0</v>
      </c>
      <c r="M625" s="42">
        <v>0</v>
      </c>
    </row>
    <row r="626" spans="1:14" ht="16.5" hidden="1" customHeight="1">
      <c r="A626" s="18"/>
      <c r="C626" s="14"/>
      <c r="D626" s="14"/>
      <c r="E626" s="14"/>
      <c r="F626" s="14"/>
      <c r="G626" s="236"/>
      <c r="H626" s="14"/>
      <c r="I626" s="14"/>
      <c r="J626" s="14"/>
      <c r="K626" s="14"/>
      <c r="L626" s="14"/>
      <c r="M626" s="14"/>
    </row>
    <row r="627" spans="1:14" ht="16.5" hidden="1" customHeight="1">
      <c r="A627" s="18" t="s">
        <v>35</v>
      </c>
      <c r="B627" s="34" t="s">
        <v>43</v>
      </c>
      <c r="C627" s="42">
        <v>0</v>
      </c>
      <c r="D627" s="42">
        <v>0</v>
      </c>
      <c r="E627" s="42">
        <v>0</v>
      </c>
      <c r="F627" s="42">
        <f>D627-E627</f>
        <v>0</v>
      </c>
      <c r="G627" s="42">
        <f>SUM(H627:M627)</f>
        <v>0</v>
      </c>
      <c r="H627" s="42">
        <v>0</v>
      </c>
      <c r="I627" s="42">
        <v>0</v>
      </c>
      <c r="J627" s="42">
        <v>0</v>
      </c>
      <c r="K627" s="42">
        <v>0</v>
      </c>
      <c r="L627" s="42">
        <v>0</v>
      </c>
      <c r="M627" s="42">
        <v>0</v>
      </c>
    </row>
    <row r="628" spans="1:14" ht="16.5" hidden="1" customHeight="1">
      <c r="A628" s="18"/>
      <c r="B628" s="35" t="s">
        <v>36</v>
      </c>
      <c r="C628" s="42">
        <v>0</v>
      </c>
      <c r="D628" s="42">
        <v>0</v>
      </c>
      <c r="E628" s="42">
        <v>0</v>
      </c>
      <c r="F628" s="42">
        <f>D628-E628</f>
        <v>0</v>
      </c>
      <c r="G628" s="42">
        <f>SUM(H628:M628)</f>
        <v>0</v>
      </c>
      <c r="H628" s="42">
        <v>0</v>
      </c>
      <c r="I628" s="42">
        <v>0</v>
      </c>
      <c r="J628" s="42">
        <v>0</v>
      </c>
      <c r="K628" s="42">
        <v>0</v>
      </c>
      <c r="L628" s="42">
        <v>0</v>
      </c>
      <c r="M628" s="42">
        <v>0</v>
      </c>
    </row>
    <row r="629" spans="1:14" ht="16.5" hidden="1" customHeight="1">
      <c r="A629" s="18"/>
      <c r="B629" s="32"/>
      <c r="C629" s="14"/>
      <c r="D629" s="14"/>
      <c r="E629" s="14"/>
      <c r="F629" s="14"/>
      <c r="G629" s="14"/>
      <c r="H629" s="14"/>
      <c r="I629" s="14"/>
      <c r="J629" s="14"/>
      <c r="K629" s="14"/>
      <c r="L629" s="14"/>
      <c r="M629" s="14"/>
    </row>
    <row r="630" spans="1:14" ht="16.5" hidden="1" customHeight="1">
      <c r="A630" s="18" t="s">
        <v>37</v>
      </c>
      <c r="B630" s="34" t="s">
        <v>60</v>
      </c>
      <c r="C630" s="42">
        <f>C633+C634+C635</f>
        <v>0</v>
      </c>
      <c r="D630" s="42">
        <f t="shared" ref="D630:M630" si="70">D633+D634+D635</f>
        <v>0</v>
      </c>
      <c r="E630" s="42">
        <f t="shared" si="70"/>
        <v>0</v>
      </c>
      <c r="F630" s="42">
        <f t="shared" si="70"/>
        <v>0</v>
      </c>
      <c r="G630" s="42">
        <f t="shared" si="70"/>
        <v>0</v>
      </c>
      <c r="H630" s="42">
        <f t="shared" si="70"/>
        <v>0</v>
      </c>
      <c r="I630" s="42">
        <f t="shared" si="70"/>
        <v>0</v>
      </c>
      <c r="J630" s="42">
        <f t="shared" si="70"/>
        <v>0</v>
      </c>
      <c r="K630" s="42">
        <f t="shared" si="70"/>
        <v>0</v>
      </c>
      <c r="L630" s="42">
        <f t="shared" si="70"/>
        <v>0</v>
      </c>
      <c r="M630" s="42">
        <f t="shared" si="70"/>
        <v>0</v>
      </c>
    </row>
    <row r="631" spans="1:14" ht="16.5" hidden="1" customHeight="1">
      <c r="A631" s="18"/>
      <c r="B631" s="35" t="s">
        <v>61</v>
      </c>
      <c r="C631" s="14"/>
      <c r="D631" s="14"/>
      <c r="E631" s="14"/>
      <c r="F631" s="14"/>
      <c r="G631" s="14"/>
      <c r="H631" s="14"/>
      <c r="I631" s="14"/>
      <c r="J631" s="14"/>
      <c r="K631" s="14"/>
      <c r="L631" s="14"/>
      <c r="M631" s="14"/>
    </row>
    <row r="632" spans="1:14" ht="16.5" hidden="1" customHeight="1">
      <c r="A632" s="12"/>
      <c r="B632" s="16" t="s">
        <v>42</v>
      </c>
      <c r="C632" s="14"/>
      <c r="D632" s="5"/>
      <c r="E632" s="5"/>
      <c r="F632" s="5"/>
      <c r="G632" s="5"/>
      <c r="H632" s="5"/>
      <c r="I632" s="5"/>
      <c r="J632" s="5"/>
      <c r="K632" s="5"/>
      <c r="L632" s="14"/>
      <c r="M632" s="14"/>
    </row>
    <row r="633" spans="1:14" ht="16.5" hidden="1" customHeight="1">
      <c r="A633" s="43"/>
      <c r="B633" s="23" t="s">
        <v>62</v>
      </c>
      <c r="C633" s="14">
        <f>'A3 - STUDII SI PROIECTE 2024'!D501</f>
        <v>0</v>
      </c>
      <c r="D633" s="14">
        <f>'A3 - STUDII SI PROIECTE 2024'!D501</f>
        <v>0</v>
      </c>
      <c r="E633" s="14">
        <f>'A3 - STUDII SI PROIECTE 2024'!F501</f>
        <v>0</v>
      </c>
      <c r="F633" s="14">
        <f>'A3 - STUDII SI PROIECTE 2024'!G501</f>
        <v>0</v>
      </c>
      <c r="G633" s="14">
        <f>'A3 - STUDII SI PROIECTE 2024'!H501</f>
        <v>0</v>
      </c>
      <c r="H633" s="14">
        <v>0</v>
      </c>
      <c r="I633" s="14">
        <v>0</v>
      </c>
      <c r="J633" s="14">
        <f>'A3 - STUDII SI PROIECTE 2024'!K501</f>
        <v>0</v>
      </c>
      <c r="K633" s="14">
        <v>0</v>
      </c>
      <c r="L633" s="14">
        <f>'A3 - STUDII SI PROIECTE 2024'!M501</f>
        <v>0</v>
      </c>
      <c r="M633" s="14">
        <v>0</v>
      </c>
    </row>
    <row r="634" spans="1:14" ht="16.5" hidden="1" customHeight="1">
      <c r="A634" s="44"/>
      <c r="B634" s="137" t="s">
        <v>63</v>
      </c>
      <c r="C634" s="45">
        <f>'A3 - DOTARI 2024'!D161</f>
        <v>0</v>
      </c>
      <c r="D634" s="45">
        <f>'A3 - DOTARI 2024'!E161</f>
        <v>0</v>
      </c>
      <c r="E634" s="45">
        <f>'A3 - DOTARI 2024'!F161</f>
        <v>0</v>
      </c>
      <c r="F634" s="45">
        <f>'A3 - DOTARI 2024'!G161</f>
        <v>0</v>
      </c>
      <c r="G634" s="45">
        <f>'A3 - DOTARI 2024'!H161</f>
        <v>0</v>
      </c>
      <c r="H634" s="45">
        <f>'A3 - DOTARI 2024'!I161</f>
        <v>0</v>
      </c>
      <c r="I634" s="45">
        <f>'A3 - DOTARI 2024'!J161</f>
        <v>0</v>
      </c>
      <c r="J634" s="45">
        <f>'A3 - DOTARI 2024'!K161</f>
        <v>0</v>
      </c>
      <c r="K634" s="45">
        <f>'A3 - DOTARI 2024'!L161</f>
        <v>0</v>
      </c>
      <c r="L634" s="45">
        <f>'A3 - DOTARI 2024'!M161</f>
        <v>0</v>
      </c>
      <c r="M634" s="45">
        <f>'A3 - DOTARI 2024'!N161</f>
        <v>0</v>
      </c>
    </row>
    <row r="635" spans="1:14" ht="16.5" hidden="1" customHeight="1">
      <c r="A635" s="44"/>
      <c r="B635" s="137" t="s">
        <v>64</v>
      </c>
      <c r="C635" s="45">
        <f>'A3 - ALTE CHELTUIELI 2024'!D452</f>
        <v>0</v>
      </c>
      <c r="D635" s="45">
        <f>'A3 - ALTE CHELTUIELI 2024'!E452</f>
        <v>0</v>
      </c>
      <c r="E635" s="45">
        <f>'A3 - ALTE CHELTUIELI 2024'!F452</f>
        <v>0</v>
      </c>
      <c r="F635" s="45">
        <f>'A3 - ALTE CHELTUIELI 2024'!G452</f>
        <v>0</v>
      </c>
      <c r="G635" s="45">
        <f>'A3 - ALTE CHELTUIELI 2024'!H452</f>
        <v>0</v>
      </c>
      <c r="H635" s="45">
        <f>'A3 - ALTE CHELTUIELI 2024'!I452</f>
        <v>0</v>
      </c>
      <c r="I635" s="45">
        <f>'A3 - ALTE CHELTUIELI 2024'!J452</f>
        <v>0</v>
      </c>
      <c r="J635" s="45">
        <f>'A3 - ALTE CHELTUIELI 2024'!K452</f>
        <v>0</v>
      </c>
      <c r="K635" s="45">
        <f>'A3 - ALTE CHELTUIELI 2024'!L452</f>
        <v>0</v>
      </c>
      <c r="L635" s="45">
        <f>'A3 - ALTE CHELTUIELI 2024'!M452</f>
        <v>0</v>
      </c>
      <c r="M635" s="45">
        <f>'A3 - ALTE CHELTUIELI 2024'!N452</f>
        <v>0</v>
      </c>
    </row>
    <row r="636" spans="1:14" ht="16.5" customHeight="1">
      <c r="A636" s="99"/>
      <c r="B636" s="143"/>
      <c r="C636" s="78"/>
      <c r="D636" s="9"/>
      <c r="E636" s="9"/>
      <c r="F636" s="9"/>
      <c r="G636" s="9"/>
      <c r="H636" s="9"/>
      <c r="I636" s="9"/>
      <c r="J636" s="9"/>
      <c r="K636" s="9"/>
      <c r="L636" s="9"/>
      <c r="M636" s="9"/>
      <c r="N636" s="9"/>
    </row>
    <row r="637" spans="1:14" ht="15.75">
      <c r="A637" s="99"/>
      <c r="B637" s="292" t="s">
        <v>243</v>
      </c>
      <c r="C637" s="290"/>
      <c r="D637" s="299"/>
      <c r="E637" s="324" t="s">
        <v>244</v>
      </c>
      <c r="F637" s="290"/>
      <c r="G637" s="290"/>
      <c r="H637" s="290"/>
      <c r="I637" s="290"/>
      <c r="J637" s="299"/>
      <c r="K637" s="308" t="s">
        <v>245</v>
      </c>
      <c r="L637" s="299"/>
      <c r="M637" s="290"/>
      <c r="N637" s="9"/>
    </row>
    <row r="638" spans="1:14" ht="15.75">
      <c r="A638" s="43"/>
      <c r="B638" s="292" t="s">
        <v>246</v>
      </c>
      <c r="C638" s="298"/>
      <c r="D638" s="299"/>
      <c r="E638" s="299"/>
      <c r="F638" s="298"/>
      <c r="G638" s="298"/>
      <c r="H638" s="291"/>
      <c r="I638" s="298"/>
      <c r="J638" s="299"/>
      <c r="K638" s="302" t="s">
        <v>247</v>
      </c>
      <c r="L638" s="299"/>
      <c r="M638" s="298"/>
    </row>
    <row r="639" spans="1:14" ht="15.75">
      <c r="A639" s="12"/>
      <c r="B639" s="302"/>
      <c r="C639" s="299"/>
      <c r="D639" s="299"/>
      <c r="E639" s="298"/>
      <c r="F639" s="299"/>
      <c r="G639" s="299"/>
      <c r="H639" s="303" t="s">
        <v>248</v>
      </c>
      <c r="I639" s="286"/>
      <c r="J639" s="291"/>
      <c r="K639" s="299"/>
      <c r="L639" s="299"/>
      <c r="M639" s="299"/>
    </row>
    <row r="640" spans="1:14" ht="15.75">
      <c r="A640" s="12"/>
      <c r="B640" s="290"/>
      <c r="C640" s="302" t="s">
        <v>249</v>
      </c>
      <c r="D640" s="290"/>
      <c r="E640" s="290"/>
      <c r="F640" s="290"/>
      <c r="G640" s="299"/>
      <c r="H640" s="303" t="s">
        <v>250</v>
      </c>
      <c r="I640" s="302"/>
      <c r="J640" s="291"/>
      <c r="K640" s="299"/>
      <c r="L640" s="302" t="s">
        <v>251</v>
      </c>
      <c r="M640" s="299"/>
    </row>
    <row r="641" spans="1:14" ht="15.75">
      <c r="A641" s="240"/>
      <c r="B641" s="290"/>
      <c r="C641" s="302" t="s">
        <v>252</v>
      </c>
      <c r="D641" s="290"/>
      <c r="E641" s="306"/>
      <c r="F641" s="299"/>
      <c r="G641" s="299"/>
      <c r="H641" s="307" t="s">
        <v>253</v>
      </c>
      <c r="I641" s="297"/>
      <c r="J641" s="308"/>
      <c r="K641" s="299"/>
      <c r="L641" s="297" t="s">
        <v>254</v>
      </c>
      <c r="M641" s="299"/>
    </row>
    <row r="642" spans="1:14" ht="15.75">
      <c r="A642" s="240"/>
      <c r="B642" s="302"/>
      <c r="C642" s="302"/>
      <c r="D642" s="309"/>
      <c r="E642" s="302"/>
      <c r="F642" s="297"/>
      <c r="G642" s="302"/>
      <c r="H642" s="309"/>
      <c r="I642" s="306"/>
      <c r="J642" s="302"/>
      <c r="K642" s="302"/>
      <c r="L642" s="297"/>
      <c r="M642" s="297"/>
      <c r="N642" s="131"/>
    </row>
    <row r="643" spans="1:14">
      <c r="A643" s="145"/>
      <c r="B643" s="310"/>
      <c r="C643" s="310"/>
      <c r="D643" s="310"/>
      <c r="E643" s="310"/>
      <c r="F643" s="294"/>
      <c r="G643" s="310"/>
      <c r="H643" s="310"/>
      <c r="I643" s="310"/>
      <c r="J643" s="310"/>
      <c r="K643" s="311"/>
      <c r="L643" s="312"/>
      <c r="M643" s="313"/>
    </row>
    <row r="644" spans="1:14" ht="13.5">
      <c r="A644" s="3"/>
      <c r="B644" s="3"/>
      <c r="C644" s="3"/>
      <c r="D644" s="3"/>
      <c r="E644" s="3"/>
      <c r="F644" s="3"/>
      <c r="G644" s="3"/>
      <c r="H644" s="3"/>
      <c r="I644" s="3"/>
      <c r="J644" s="6"/>
      <c r="K644" s="3"/>
      <c r="L644" s="3"/>
      <c r="M644" s="110"/>
      <c r="N644" s="3"/>
    </row>
    <row r="645" spans="1:14" ht="12.75">
      <c r="A645" s="3"/>
      <c r="B645" s="147"/>
      <c r="C645" s="3"/>
      <c r="D645" s="3"/>
      <c r="E645" s="3"/>
      <c r="F645" s="3"/>
      <c r="G645" s="3"/>
      <c r="H645" s="3"/>
      <c r="I645" s="3"/>
      <c r="J645" s="3"/>
      <c r="K645" s="3"/>
      <c r="L645" s="3"/>
      <c r="M645" s="110"/>
      <c r="N645" s="3"/>
    </row>
    <row r="646" spans="1:14">
      <c r="D646" s="6"/>
      <c r="E646" s="6"/>
      <c r="F646" s="6"/>
      <c r="G646" s="6"/>
      <c r="H646" s="78"/>
      <c r="I646" s="78"/>
      <c r="J646" s="6"/>
      <c r="K646" s="6"/>
      <c r="L646" s="6"/>
      <c r="M646" s="6"/>
      <c r="N646" s="6"/>
    </row>
    <row r="647" spans="1:14">
      <c r="D647" s="6"/>
      <c r="E647" s="6"/>
      <c r="F647" s="6"/>
      <c r="G647" s="6"/>
      <c r="H647" s="78"/>
      <c r="I647" s="78"/>
      <c r="J647" s="6"/>
      <c r="K647" s="6"/>
      <c r="L647" s="6"/>
      <c r="M647" s="6"/>
      <c r="N647" s="6"/>
    </row>
    <row r="648" spans="1:14" ht="13.5">
      <c r="A648" s="6"/>
      <c r="B648" s="6"/>
      <c r="C648" s="6"/>
      <c r="D648" s="6"/>
      <c r="E648" s="6"/>
      <c r="F648" s="6"/>
      <c r="G648" s="6"/>
      <c r="H648" s="78"/>
      <c r="I648" s="78"/>
      <c r="J648" s="6"/>
      <c r="K648" s="6"/>
      <c r="L648" s="6"/>
      <c r="M648" s="6"/>
      <c r="N648" s="6"/>
    </row>
  </sheetData>
  <mergeCells count="1">
    <mergeCell ref="A8:M8"/>
  </mergeCells>
  <phoneticPr fontId="4" type="noConversion"/>
  <pageMargins left="0.27559055118110237" right="0.15748031496062992" top="0.74803149606299213" bottom="0.78740157480314965" header="0.31496062992125984" footer="0.39370078740157483"/>
  <pageSetup paperSize="9" scale="95" fitToHeight="6" orientation="landscape" r:id="rId1"/>
  <headerFooter alignWithMargins="0">
    <oddFooter xml:space="preserve">&amp;C&amp;8Pagina &amp;P din &amp;N&amp;R&amp;8(L1) HCL nr.  din 
Lista  obiectelor de investiții ANEXA 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00000"/>
  </sheetPr>
  <dimension ref="A1:Q245"/>
  <sheetViews>
    <sheetView view="pageBreakPreview" topLeftCell="A229" zoomScaleNormal="115" zoomScaleSheetLayoutView="100" workbookViewId="0">
      <selection activeCell="H229" sqref="H1:H65536"/>
    </sheetView>
  </sheetViews>
  <sheetFormatPr defaultRowHeight="12.75"/>
  <cols>
    <col min="1" max="1" width="4.140625" style="3" customWidth="1"/>
    <col min="2" max="2" width="40.140625" style="3" customWidth="1"/>
    <col min="3" max="3" width="9.85546875" style="68" customWidth="1"/>
    <col min="4" max="4" width="7.42578125" style="3" customWidth="1"/>
    <col min="5" max="5" width="8.5703125" style="3" customWidth="1"/>
    <col min="6" max="6" width="9.28515625" style="3" customWidth="1"/>
    <col min="7" max="7" width="7" style="3" customWidth="1"/>
    <col min="8" max="8" width="8.140625" style="3" customWidth="1"/>
    <col min="9" max="9" width="6.7109375" style="3" customWidth="1"/>
    <col min="10" max="10" width="5.5703125" style="3" customWidth="1"/>
    <col min="11" max="11" width="6.5703125" style="3" customWidth="1"/>
    <col min="12" max="12" width="7.140625" style="3" customWidth="1"/>
    <col min="13" max="13" width="7.42578125" style="3" customWidth="1"/>
    <col min="14" max="14" width="5.7109375" style="3" customWidth="1"/>
    <col min="15" max="15" width="5.5703125" style="67" bestFit="1" customWidth="1"/>
    <col min="16" max="16" width="9.140625" style="3"/>
    <col min="17" max="17" width="10.140625" style="3" bestFit="1" customWidth="1"/>
    <col min="18" max="16384" width="9.140625" style="3"/>
  </cols>
  <sheetData>
    <row r="1" spans="1:17" ht="9" customHeight="1">
      <c r="A1" s="65"/>
      <c r="B1" s="66"/>
      <c r="D1" s="248"/>
      <c r="E1" s="248"/>
      <c r="G1" s="75"/>
      <c r="H1" s="248"/>
      <c r="I1" s="248"/>
      <c r="J1" s="248"/>
      <c r="K1" s="249"/>
      <c r="N1" s="129" t="s">
        <v>255</v>
      </c>
    </row>
    <row r="2" spans="1:17" ht="15">
      <c r="A2" s="65"/>
      <c r="B2" s="66"/>
      <c r="D2" s="319"/>
      <c r="E2" s="314" t="s">
        <v>3</v>
      </c>
      <c r="F2" s="319"/>
      <c r="G2" s="314" t="s">
        <v>4</v>
      </c>
      <c r="H2" s="314"/>
      <c r="I2" s="314"/>
      <c r="J2" s="314"/>
      <c r="K2" s="314" t="s">
        <v>5</v>
      </c>
      <c r="L2" s="319"/>
      <c r="M2" s="319"/>
    </row>
    <row r="3" spans="1:17" ht="15">
      <c r="A3" s="65"/>
      <c r="B3" s="66"/>
      <c r="D3" s="319"/>
      <c r="E3" s="314" t="s">
        <v>7</v>
      </c>
      <c r="F3" s="319"/>
      <c r="G3" s="315"/>
      <c r="H3" s="314"/>
      <c r="I3" s="314"/>
      <c r="J3" s="314"/>
      <c r="K3" s="314" t="s">
        <v>8</v>
      </c>
      <c r="L3" s="319"/>
      <c r="M3" s="319"/>
    </row>
    <row r="4" spans="1:17" ht="15" customHeight="1">
      <c r="A4" s="65"/>
      <c r="B4" s="66"/>
      <c r="D4" s="319"/>
      <c r="E4" s="314" t="s">
        <v>10</v>
      </c>
      <c r="F4" s="316"/>
      <c r="G4" s="313"/>
      <c r="H4" s="313"/>
      <c r="I4" s="313"/>
      <c r="J4" s="313"/>
      <c r="K4" s="314" t="s">
        <v>11</v>
      </c>
      <c r="L4" s="319"/>
      <c r="M4" s="372"/>
    </row>
    <row r="5" spans="1:17" ht="23.25" customHeight="1">
      <c r="A5" s="65"/>
      <c r="B5" s="183" t="s">
        <v>256</v>
      </c>
      <c r="D5" s="319"/>
      <c r="E5" s="317" t="s">
        <v>13</v>
      </c>
      <c r="F5" s="319"/>
      <c r="G5" s="319"/>
      <c r="H5" s="319"/>
      <c r="I5" s="319"/>
      <c r="J5" s="319"/>
      <c r="K5" s="319"/>
      <c r="L5" s="319"/>
      <c r="M5" s="372"/>
    </row>
    <row r="6" spans="1:17" ht="22.5" customHeight="1">
      <c r="A6" s="65"/>
      <c r="B6" s="183"/>
      <c r="D6" s="317"/>
      <c r="E6" s="319"/>
      <c r="F6" s="319"/>
      <c r="G6" s="319"/>
      <c r="H6" s="319"/>
      <c r="I6" s="319"/>
      <c r="J6" s="319"/>
      <c r="K6" s="319"/>
      <c r="L6" s="319"/>
      <c r="M6" s="372"/>
    </row>
    <row r="7" spans="1:17" ht="21.75" customHeight="1">
      <c r="A7" s="387" t="s">
        <v>257</v>
      </c>
      <c r="B7" s="387"/>
      <c r="C7" s="387"/>
      <c r="D7" s="387"/>
      <c r="E7" s="387"/>
      <c r="F7" s="387"/>
      <c r="G7" s="387"/>
      <c r="H7" s="387"/>
      <c r="I7" s="387"/>
      <c r="J7" s="387"/>
      <c r="K7" s="387"/>
      <c r="L7" s="387"/>
      <c r="M7" s="387"/>
      <c r="N7" s="387"/>
    </row>
    <row r="8" spans="1:17" ht="19.5" customHeight="1">
      <c r="A8" s="276"/>
      <c r="B8" s="373"/>
      <c r="C8" s="373"/>
      <c r="D8" s="373"/>
      <c r="E8" s="373"/>
      <c r="F8" s="373"/>
      <c r="G8" s="373"/>
      <c r="H8" s="373"/>
      <c r="I8" s="373"/>
      <c r="J8" s="373"/>
      <c r="K8" s="373"/>
      <c r="L8" s="373"/>
      <c r="M8" s="373"/>
      <c r="N8" s="373"/>
    </row>
    <row r="9" spans="1:17" s="74" customFormat="1" ht="27.75" customHeight="1" thickBot="1">
      <c r="A9" s="70" t="s">
        <v>258</v>
      </c>
      <c r="B9" s="4"/>
      <c r="C9" s="71"/>
      <c r="D9" s="72"/>
      <c r="E9" s="72"/>
      <c r="F9" s="4"/>
      <c r="G9" s="4"/>
      <c r="H9" s="4"/>
      <c r="I9" s="4"/>
      <c r="J9" s="4"/>
      <c r="K9" s="4"/>
      <c r="L9" s="69"/>
      <c r="M9" s="4"/>
      <c r="N9" s="73" t="s">
        <v>41</v>
      </c>
      <c r="O9" s="67"/>
    </row>
    <row r="10" spans="1:17" s="74" customFormat="1" ht="63" customHeight="1" thickBot="1">
      <c r="A10" s="185" t="s">
        <v>259</v>
      </c>
      <c r="B10" s="186" t="s">
        <v>260</v>
      </c>
      <c r="C10" s="187" t="s">
        <v>261</v>
      </c>
      <c r="D10" s="186" t="s">
        <v>262</v>
      </c>
      <c r="E10" s="188" t="s">
        <v>263</v>
      </c>
      <c r="F10" s="189" t="s">
        <v>264</v>
      </c>
      <c r="G10" s="189" t="s">
        <v>265</v>
      </c>
      <c r="H10" s="189" t="s">
        <v>266</v>
      </c>
      <c r="I10" s="86" t="s">
        <v>24</v>
      </c>
      <c r="J10" s="87" t="s">
        <v>25</v>
      </c>
      <c r="K10" s="190" t="s">
        <v>26</v>
      </c>
      <c r="L10" s="189" t="s">
        <v>27</v>
      </c>
      <c r="M10" s="189" t="s">
        <v>28</v>
      </c>
      <c r="N10" s="191" t="s">
        <v>267</v>
      </c>
      <c r="O10" s="67"/>
    </row>
    <row r="11" spans="1:17" s="74" customFormat="1" ht="96.75" customHeight="1">
      <c r="A11" s="342">
        <v>1</v>
      </c>
      <c r="B11" s="352" t="s">
        <v>268</v>
      </c>
      <c r="C11" s="353" t="s">
        <v>269</v>
      </c>
      <c r="D11" s="167">
        <f>101+18+29</f>
        <v>148</v>
      </c>
      <c r="E11" s="346">
        <f t="shared" ref="E11:E28" si="0">D11</f>
        <v>148</v>
      </c>
      <c r="F11" s="168">
        <f>101+18</f>
        <v>119</v>
      </c>
      <c r="G11" s="169">
        <f t="shared" ref="G11:G28" si="1">D11-F11</f>
        <v>29</v>
      </c>
      <c r="H11" s="170">
        <f>SUM(I11:N11)</f>
        <v>29</v>
      </c>
      <c r="I11" s="168"/>
      <c r="J11" s="170"/>
      <c r="K11" s="169"/>
      <c r="L11" s="169"/>
      <c r="M11" s="168">
        <v>29</v>
      </c>
      <c r="N11" s="169"/>
      <c r="O11" s="67" t="s">
        <v>270</v>
      </c>
      <c r="Q11" s="260"/>
    </row>
    <row r="12" spans="1:17" s="74" customFormat="1" ht="82.5" customHeight="1">
      <c r="A12" s="342">
        <v>2</v>
      </c>
      <c r="B12" s="358" t="s">
        <v>271</v>
      </c>
      <c r="C12" s="195" t="s">
        <v>269</v>
      </c>
      <c r="D12" s="167">
        <v>500</v>
      </c>
      <c r="E12" s="167">
        <f>D12</f>
        <v>500</v>
      </c>
      <c r="F12" s="168">
        <v>0</v>
      </c>
      <c r="G12" s="169">
        <f>D12-F12</f>
        <v>500</v>
      </c>
      <c r="H12" s="170">
        <f>SUM(I12:N12)</f>
        <v>500</v>
      </c>
      <c r="I12" s="168"/>
      <c r="J12" s="170"/>
      <c r="K12" s="169"/>
      <c r="L12" s="169"/>
      <c r="M12" s="168">
        <v>500</v>
      </c>
      <c r="N12" s="169"/>
      <c r="O12" s="67" t="s">
        <v>270</v>
      </c>
      <c r="Q12" s="260"/>
    </row>
    <row r="13" spans="1:17" s="74" customFormat="1" ht="114.75" customHeight="1">
      <c r="A13" s="342">
        <v>3</v>
      </c>
      <c r="B13" s="358" t="s">
        <v>272</v>
      </c>
      <c r="C13" s="195" t="s">
        <v>269</v>
      </c>
      <c r="D13" s="167">
        <f>178+50</f>
        <v>228</v>
      </c>
      <c r="E13" s="167">
        <f t="shared" si="0"/>
        <v>228</v>
      </c>
      <c r="F13" s="168">
        <v>178</v>
      </c>
      <c r="G13" s="169">
        <f t="shared" si="1"/>
        <v>50</v>
      </c>
      <c r="H13" s="170">
        <f>SUM(I13:N13)</f>
        <v>50</v>
      </c>
      <c r="I13" s="168"/>
      <c r="J13" s="170"/>
      <c r="K13" s="169"/>
      <c r="L13" s="169"/>
      <c r="M13" s="168">
        <v>50</v>
      </c>
      <c r="N13" s="169"/>
      <c r="O13" s="67" t="s">
        <v>270</v>
      </c>
      <c r="Q13" s="260"/>
    </row>
    <row r="14" spans="1:17" s="74" customFormat="1" ht="105">
      <c r="A14" s="342">
        <v>4</v>
      </c>
      <c r="B14" s="358" t="s">
        <v>273</v>
      </c>
      <c r="C14" s="195" t="s">
        <v>269</v>
      </c>
      <c r="D14" s="167">
        <f>141+50</f>
        <v>191</v>
      </c>
      <c r="E14" s="167">
        <f t="shared" si="0"/>
        <v>191</v>
      </c>
      <c r="F14" s="168">
        <v>141</v>
      </c>
      <c r="G14" s="169">
        <f t="shared" si="1"/>
        <v>50</v>
      </c>
      <c r="H14" s="170">
        <f>SUM(I14:N14)</f>
        <v>50</v>
      </c>
      <c r="I14" s="168"/>
      <c r="J14" s="170"/>
      <c r="K14" s="169"/>
      <c r="L14" s="169"/>
      <c r="M14" s="168">
        <v>50</v>
      </c>
      <c r="N14" s="169"/>
      <c r="O14" s="67" t="s">
        <v>270</v>
      </c>
      <c r="Q14" s="260"/>
    </row>
    <row r="15" spans="1:17" s="74" customFormat="1" ht="120">
      <c r="A15" s="342">
        <v>5</v>
      </c>
      <c r="B15" s="358" t="s">
        <v>274</v>
      </c>
      <c r="C15" s="195" t="s">
        <v>269</v>
      </c>
      <c r="D15" s="167">
        <v>50</v>
      </c>
      <c r="E15" s="167">
        <f t="shared" si="0"/>
        <v>50</v>
      </c>
      <c r="F15" s="168">
        <v>0</v>
      </c>
      <c r="G15" s="169">
        <f t="shared" si="1"/>
        <v>50</v>
      </c>
      <c r="H15" s="170">
        <f>SUM(I15:N15)</f>
        <v>50</v>
      </c>
      <c r="I15" s="168"/>
      <c r="J15" s="170"/>
      <c r="K15" s="169"/>
      <c r="L15" s="169"/>
      <c r="M15" s="168">
        <v>50</v>
      </c>
      <c r="N15" s="169"/>
      <c r="O15" s="67" t="s">
        <v>270</v>
      </c>
      <c r="Q15" s="260"/>
    </row>
    <row r="16" spans="1:17" s="74" customFormat="1" ht="120">
      <c r="A16" s="342">
        <v>6</v>
      </c>
      <c r="B16" s="343" t="s">
        <v>275</v>
      </c>
      <c r="C16" s="281" t="s">
        <v>269</v>
      </c>
      <c r="D16" s="167">
        <v>50</v>
      </c>
      <c r="E16" s="344">
        <f t="shared" si="0"/>
        <v>50</v>
      </c>
      <c r="F16" s="168">
        <v>0</v>
      </c>
      <c r="G16" s="169">
        <f t="shared" si="1"/>
        <v>50</v>
      </c>
      <c r="H16" s="170">
        <f>SUM(K16:N16)</f>
        <v>50</v>
      </c>
      <c r="I16" s="170"/>
      <c r="J16" s="170"/>
      <c r="K16" s="169"/>
      <c r="L16" s="169"/>
      <c r="M16" s="168">
        <v>50</v>
      </c>
      <c r="N16" s="169"/>
      <c r="O16" s="67" t="s">
        <v>270</v>
      </c>
      <c r="Q16" s="260"/>
    </row>
    <row r="17" spans="1:17" s="74" customFormat="1" ht="117" customHeight="1">
      <c r="A17" s="342">
        <v>7</v>
      </c>
      <c r="B17" s="343" t="s">
        <v>276</v>
      </c>
      <c r="C17" s="281" t="s">
        <v>269</v>
      </c>
      <c r="D17" s="167">
        <v>50</v>
      </c>
      <c r="E17" s="344">
        <f t="shared" si="0"/>
        <v>50</v>
      </c>
      <c r="F17" s="168">
        <v>0</v>
      </c>
      <c r="G17" s="169">
        <f t="shared" si="1"/>
        <v>50</v>
      </c>
      <c r="H17" s="170">
        <f>SUM(K17:N17)</f>
        <v>50</v>
      </c>
      <c r="I17" s="170"/>
      <c r="J17" s="170"/>
      <c r="K17" s="169"/>
      <c r="L17" s="169"/>
      <c r="M17" s="168">
        <v>50</v>
      </c>
      <c r="N17" s="169"/>
      <c r="O17" s="67" t="s">
        <v>270</v>
      </c>
      <c r="Q17" s="260"/>
    </row>
    <row r="18" spans="1:17" s="74" customFormat="1" ht="71.25" customHeight="1">
      <c r="A18" s="342">
        <v>8</v>
      </c>
      <c r="B18" s="352" t="s">
        <v>277</v>
      </c>
      <c r="C18" s="353" t="s">
        <v>269</v>
      </c>
      <c r="D18" s="167">
        <f>195+274+40</f>
        <v>509</v>
      </c>
      <c r="E18" s="346">
        <f t="shared" si="0"/>
        <v>509</v>
      </c>
      <c r="F18" s="168">
        <f>195+274</f>
        <v>469</v>
      </c>
      <c r="G18" s="169">
        <f t="shared" si="1"/>
        <v>40</v>
      </c>
      <c r="H18" s="170">
        <f>SUM(I18:N18)</f>
        <v>40</v>
      </c>
      <c r="I18" s="168"/>
      <c r="J18" s="170"/>
      <c r="K18" s="169"/>
      <c r="L18" s="169"/>
      <c r="M18" s="168">
        <v>40</v>
      </c>
      <c r="N18" s="169"/>
      <c r="O18" s="67" t="s">
        <v>270</v>
      </c>
      <c r="Q18" s="260"/>
    </row>
    <row r="19" spans="1:17" s="74" customFormat="1" ht="49.5" customHeight="1">
      <c r="A19" s="342">
        <v>9</v>
      </c>
      <c r="B19" s="352" t="s">
        <v>278</v>
      </c>
      <c r="C19" s="353" t="s">
        <v>269</v>
      </c>
      <c r="D19" s="167">
        <f>10-9</f>
        <v>1</v>
      </c>
      <c r="E19" s="346">
        <f t="shared" si="0"/>
        <v>1</v>
      </c>
      <c r="F19" s="168">
        <v>0</v>
      </c>
      <c r="G19" s="169">
        <f t="shared" si="1"/>
        <v>1</v>
      </c>
      <c r="H19" s="170">
        <f>SUM(I19:N19)</f>
        <v>1</v>
      </c>
      <c r="I19" s="168"/>
      <c r="J19" s="170"/>
      <c r="K19" s="169"/>
      <c r="L19" s="169"/>
      <c r="M19" s="168">
        <f>10-9</f>
        <v>1</v>
      </c>
      <c r="N19" s="169"/>
      <c r="O19" s="67" t="s">
        <v>270</v>
      </c>
      <c r="Q19" s="260"/>
    </row>
    <row r="20" spans="1:17" s="74" customFormat="1" ht="105">
      <c r="A20" s="342">
        <v>10</v>
      </c>
      <c r="B20" s="358" t="s">
        <v>279</v>
      </c>
      <c r="C20" s="359" t="s">
        <v>269</v>
      </c>
      <c r="D20" s="167">
        <f>1425+1+1710+60</f>
        <v>3196</v>
      </c>
      <c r="E20" s="167">
        <f t="shared" si="0"/>
        <v>3196</v>
      </c>
      <c r="F20" s="168">
        <f>191+471+763+1</f>
        <v>1426</v>
      </c>
      <c r="G20" s="169">
        <f t="shared" si="1"/>
        <v>1770</v>
      </c>
      <c r="H20" s="170">
        <f>SUM(K20:N20)</f>
        <v>1770</v>
      </c>
      <c r="I20" s="170"/>
      <c r="J20" s="170"/>
      <c r="K20" s="169"/>
      <c r="L20" s="169"/>
      <c r="M20" s="168">
        <f>1710+60</f>
        <v>1770</v>
      </c>
      <c r="N20" s="169"/>
      <c r="O20" s="67" t="s">
        <v>270</v>
      </c>
      <c r="Q20" s="260"/>
    </row>
    <row r="21" spans="1:17" s="74" customFormat="1" ht="135">
      <c r="A21" s="342">
        <v>11</v>
      </c>
      <c r="B21" s="358" t="s">
        <v>280</v>
      </c>
      <c r="C21" s="353" t="s">
        <v>269</v>
      </c>
      <c r="D21" s="167">
        <f>935+1310+60</f>
        <v>2305</v>
      </c>
      <c r="E21" s="346">
        <f t="shared" si="0"/>
        <v>2305</v>
      </c>
      <c r="F21" s="168">
        <f>407+528</f>
        <v>935</v>
      </c>
      <c r="G21" s="169">
        <f t="shared" si="1"/>
        <v>1370</v>
      </c>
      <c r="H21" s="170">
        <f t="shared" ref="H21:H28" si="2">SUM(I21:N21)</f>
        <v>1370</v>
      </c>
      <c r="I21" s="168"/>
      <c r="J21" s="170"/>
      <c r="K21" s="169"/>
      <c r="L21" s="169"/>
      <c r="M21" s="168">
        <f>1310+60</f>
        <v>1370</v>
      </c>
      <c r="N21" s="169"/>
      <c r="O21" s="67" t="s">
        <v>270</v>
      </c>
      <c r="Q21" s="260"/>
    </row>
    <row r="22" spans="1:17" s="74" customFormat="1" ht="132" customHeight="1">
      <c r="A22" s="342">
        <v>12</v>
      </c>
      <c r="B22" s="358" t="s">
        <v>281</v>
      </c>
      <c r="C22" s="353" t="s">
        <v>269</v>
      </c>
      <c r="D22" s="167">
        <f>152+361+60+120</f>
        <v>693</v>
      </c>
      <c r="E22" s="346">
        <f>D22</f>
        <v>693</v>
      </c>
      <c r="F22" s="168">
        <f>152+361</f>
        <v>513</v>
      </c>
      <c r="G22" s="169">
        <f>D22-F22</f>
        <v>180</v>
      </c>
      <c r="H22" s="170">
        <f>SUM(I22:N22)</f>
        <v>180</v>
      </c>
      <c r="I22" s="168"/>
      <c r="J22" s="170"/>
      <c r="K22" s="169">
        <v>0</v>
      </c>
      <c r="L22" s="169"/>
      <c r="M22" s="168">
        <f>60+120</f>
        <v>180</v>
      </c>
      <c r="N22" s="169"/>
      <c r="O22" s="67" t="s">
        <v>270</v>
      </c>
      <c r="Q22" s="260"/>
    </row>
    <row r="23" spans="1:17" s="74" customFormat="1" ht="115.5" customHeight="1">
      <c r="A23" s="342">
        <v>13</v>
      </c>
      <c r="B23" s="358" t="s">
        <v>282</v>
      </c>
      <c r="C23" s="353" t="s">
        <v>269</v>
      </c>
      <c r="D23" s="167">
        <f>60+456</f>
        <v>516</v>
      </c>
      <c r="E23" s="346">
        <f>D23</f>
        <v>516</v>
      </c>
      <c r="F23" s="168">
        <f>109+347</f>
        <v>456</v>
      </c>
      <c r="G23" s="169">
        <f>D23-F23</f>
        <v>60</v>
      </c>
      <c r="H23" s="170">
        <f>SUM(I23:N23)</f>
        <v>60</v>
      </c>
      <c r="I23" s="168"/>
      <c r="J23" s="170"/>
      <c r="K23" s="169"/>
      <c r="L23" s="169"/>
      <c r="M23" s="168">
        <v>60</v>
      </c>
      <c r="N23" s="169"/>
      <c r="O23" s="67" t="s">
        <v>270</v>
      </c>
      <c r="Q23" s="260"/>
    </row>
    <row r="24" spans="1:17" s="74" customFormat="1" ht="113.25" customHeight="1">
      <c r="A24" s="342">
        <v>14</v>
      </c>
      <c r="B24" s="358" t="s">
        <v>283</v>
      </c>
      <c r="C24" s="353" t="s">
        <v>269</v>
      </c>
      <c r="D24" s="167">
        <v>525</v>
      </c>
      <c r="E24" s="346">
        <f t="shared" si="0"/>
        <v>525</v>
      </c>
      <c r="F24" s="168">
        <f>11+5+214</f>
        <v>230</v>
      </c>
      <c r="G24" s="169">
        <f t="shared" si="1"/>
        <v>295</v>
      </c>
      <c r="H24" s="170">
        <f t="shared" si="2"/>
        <v>295</v>
      </c>
      <c r="I24" s="168">
        <v>295</v>
      </c>
      <c r="J24" s="170"/>
      <c r="K24" s="169"/>
      <c r="L24" s="169"/>
      <c r="M24" s="168"/>
      <c r="N24" s="169"/>
      <c r="O24" s="67" t="s">
        <v>270</v>
      </c>
      <c r="Q24" s="260"/>
    </row>
    <row r="25" spans="1:17" s="74" customFormat="1" ht="114.75" customHeight="1">
      <c r="A25" s="342">
        <v>15</v>
      </c>
      <c r="B25" s="352" t="s">
        <v>284</v>
      </c>
      <c r="C25" s="353" t="s">
        <v>269</v>
      </c>
      <c r="D25" s="167">
        <v>867</v>
      </c>
      <c r="E25" s="346">
        <f t="shared" si="0"/>
        <v>867</v>
      </c>
      <c r="F25" s="168">
        <f>165+535</f>
        <v>700</v>
      </c>
      <c r="G25" s="169">
        <f t="shared" si="1"/>
        <v>167</v>
      </c>
      <c r="H25" s="170">
        <f t="shared" si="2"/>
        <v>167</v>
      </c>
      <c r="I25" s="168">
        <v>167</v>
      </c>
      <c r="J25" s="170"/>
      <c r="K25" s="169"/>
      <c r="L25" s="169"/>
      <c r="M25" s="168"/>
      <c r="N25" s="169"/>
      <c r="O25" s="67" t="s">
        <v>270</v>
      </c>
      <c r="Q25" s="260"/>
    </row>
    <row r="26" spans="1:17" s="74" customFormat="1" ht="113.25" customHeight="1">
      <c r="A26" s="342">
        <v>16</v>
      </c>
      <c r="B26" s="358" t="s">
        <v>285</v>
      </c>
      <c r="C26" s="195" t="s">
        <v>269</v>
      </c>
      <c r="D26" s="167">
        <v>859</v>
      </c>
      <c r="E26" s="167">
        <f t="shared" si="0"/>
        <v>859</v>
      </c>
      <c r="F26" s="168">
        <f>215+345</f>
        <v>560</v>
      </c>
      <c r="G26" s="169">
        <f t="shared" si="1"/>
        <v>299</v>
      </c>
      <c r="H26" s="170">
        <f t="shared" si="2"/>
        <v>299</v>
      </c>
      <c r="I26" s="168">
        <v>299</v>
      </c>
      <c r="J26" s="170"/>
      <c r="K26" s="169"/>
      <c r="L26" s="169"/>
      <c r="M26" s="168"/>
      <c r="N26" s="169"/>
      <c r="O26" s="67" t="s">
        <v>270</v>
      </c>
      <c r="Q26" s="260"/>
    </row>
    <row r="27" spans="1:17" s="74" customFormat="1" ht="101.25" customHeight="1">
      <c r="A27" s="342">
        <v>17</v>
      </c>
      <c r="B27" s="358" t="s">
        <v>286</v>
      </c>
      <c r="C27" s="195" t="s">
        <v>269</v>
      </c>
      <c r="D27" s="167">
        <v>654</v>
      </c>
      <c r="E27" s="167">
        <f t="shared" si="0"/>
        <v>654</v>
      </c>
      <c r="F27" s="168">
        <f>88+283</f>
        <v>371</v>
      </c>
      <c r="G27" s="169">
        <f t="shared" si="1"/>
        <v>283</v>
      </c>
      <c r="H27" s="170">
        <f t="shared" si="2"/>
        <v>283</v>
      </c>
      <c r="I27" s="168">
        <v>283</v>
      </c>
      <c r="J27" s="170"/>
      <c r="K27" s="169"/>
      <c r="L27" s="169"/>
      <c r="M27" s="168"/>
      <c r="N27" s="169"/>
      <c r="O27" s="67" t="s">
        <v>270</v>
      </c>
      <c r="Q27" s="260"/>
    </row>
    <row r="28" spans="1:17" s="74" customFormat="1" ht="102.75" customHeight="1">
      <c r="A28" s="342">
        <v>18</v>
      </c>
      <c r="B28" s="358" t="s">
        <v>287</v>
      </c>
      <c r="C28" s="195" t="s">
        <v>269</v>
      </c>
      <c r="D28" s="167">
        <v>793</v>
      </c>
      <c r="E28" s="167">
        <f t="shared" si="0"/>
        <v>793</v>
      </c>
      <c r="F28" s="168">
        <f>100+341</f>
        <v>441</v>
      </c>
      <c r="G28" s="169">
        <f t="shared" si="1"/>
        <v>352</v>
      </c>
      <c r="H28" s="170">
        <f t="shared" si="2"/>
        <v>352</v>
      </c>
      <c r="I28" s="168">
        <v>352</v>
      </c>
      <c r="J28" s="170"/>
      <c r="K28" s="169"/>
      <c r="L28" s="169"/>
      <c r="M28" s="168"/>
      <c r="N28" s="169"/>
      <c r="O28" s="67" t="s">
        <v>270</v>
      </c>
      <c r="Q28" s="260"/>
    </row>
    <row r="29" spans="1:17" s="74" customFormat="1" ht="65.25" customHeight="1">
      <c r="A29" s="342">
        <v>19</v>
      </c>
      <c r="B29" s="345" t="s">
        <v>288</v>
      </c>
      <c r="C29" s="281" t="s">
        <v>289</v>
      </c>
      <c r="D29" s="168">
        <f>2+155</f>
        <v>157</v>
      </c>
      <c r="E29" s="346">
        <f t="shared" ref="E29:E40" si="3">D29</f>
        <v>157</v>
      </c>
      <c r="F29" s="346">
        <v>2</v>
      </c>
      <c r="G29" s="168">
        <f t="shared" ref="G29:G40" si="4">D29-F29</f>
        <v>155</v>
      </c>
      <c r="H29" s="170">
        <f t="shared" ref="H29:H39" si="5">SUM(I29:N29)</f>
        <v>155</v>
      </c>
      <c r="I29" s="346"/>
      <c r="J29" s="158"/>
      <c r="K29" s="346"/>
      <c r="L29" s="346"/>
      <c r="M29" s="346">
        <v>155</v>
      </c>
      <c r="N29" s="168"/>
      <c r="O29" s="67" t="s">
        <v>270</v>
      </c>
      <c r="Q29" s="260"/>
    </row>
    <row r="30" spans="1:17" s="74" customFormat="1" ht="51.75" customHeight="1">
      <c r="A30" s="342">
        <v>20</v>
      </c>
      <c r="B30" s="345" t="s">
        <v>290</v>
      </c>
      <c r="C30" s="281" t="s">
        <v>289</v>
      </c>
      <c r="D30" s="168">
        <v>1</v>
      </c>
      <c r="E30" s="346">
        <f t="shared" si="3"/>
        <v>1</v>
      </c>
      <c r="F30" s="346">
        <v>0</v>
      </c>
      <c r="G30" s="168">
        <f t="shared" si="4"/>
        <v>1</v>
      </c>
      <c r="H30" s="170">
        <f t="shared" si="5"/>
        <v>1</v>
      </c>
      <c r="I30" s="346"/>
      <c r="J30" s="158"/>
      <c r="K30" s="346"/>
      <c r="L30" s="346"/>
      <c r="M30" s="346">
        <v>1</v>
      </c>
      <c r="N30" s="168"/>
      <c r="O30" s="67" t="s">
        <v>270</v>
      </c>
    </row>
    <row r="31" spans="1:17" s="75" customFormat="1" ht="51.75" customHeight="1">
      <c r="A31" s="342">
        <v>21</v>
      </c>
      <c r="B31" s="352" t="s">
        <v>291</v>
      </c>
      <c r="C31" s="353" t="s">
        <v>289</v>
      </c>
      <c r="D31" s="167">
        <f>180+177</f>
        <v>357</v>
      </c>
      <c r="E31" s="346">
        <f t="shared" si="3"/>
        <v>357</v>
      </c>
      <c r="F31" s="168">
        <v>177</v>
      </c>
      <c r="G31" s="169">
        <f t="shared" si="4"/>
        <v>180</v>
      </c>
      <c r="H31" s="170">
        <f t="shared" si="5"/>
        <v>180</v>
      </c>
      <c r="I31" s="168"/>
      <c r="J31" s="170"/>
      <c r="K31" s="169">
        <v>0</v>
      </c>
      <c r="L31" s="169"/>
      <c r="M31" s="168">
        <v>180</v>
      </c>
      <c r="N31" s="169"/>
      <c r="O31" s="67" t="s">
        <v>270</v>
      </c>
    </row>
    <row r="32" spans="1:17" s="75" customFormat="1" ht="51.75" customHeight="1">
      <c r="A32" s="342">
        <v>22</v>
      </c>
      <c r="B32" s="358" t="s">
        <v>292</v>
      </c>
      <c r="C32" s="195" t="s">
        <v>289</v>
      </c>
      <c r="D32" s="167">
        <v>75</v>
      </c>
      <c r="E32" s="167">
        <f t="shared" si="3"/>
        <v>75</v>
      </c>
      <c r="F32" s="168">
        <v>0</v>
      </c>
      <c r="G32" s="169">
        <f t="shared" si="4"/>
        <v>75</v>
      </c>
      <c r="H32" s="170">
        <f t="shared" si="5"/>
        <v>75</v>
      </c>
      <c r="I32" s="168"/>
      <c r="J32" s="170"/>
      <c r="K32" s="169"/>
      <c r="L32" s="169"/>
      <c r="M32" s="168">
        <v>75</v>
      </c>
      <c r="N32" s="169"/>
      <c r="O32" s="67" t="s">
        <v>270</v>
      </c>
    </row>
    <row r="33" spans="1:15" s="75" customFormat="1" ht="75">
      <c r="A33" s="342">
        <v>23</v>
      </c>
      <c r="B33" s="358" t="s">
        <v>293</v>
      </c>
      <c r="C33" s="195" t="s">
        <v>289</v>
      </c>
      <c r="D33" s="167">
        <v>1</v>
      </c>
      <c r="E33" s="167">
        <f t="shared" ref="E33:E38" si="6">D33</f>
        <v>1</v>
      </c>
      <c r="F33" s="168">
        <v>0</v>
      </c>
      <c r="G33" s="169">
        <f t="shared" ref="G33:G38" si="7">D33-F33</f>
        <v>1</v>
      </c>
      <c r="H33" s="170">
        <f t="shared" si="5"/>
        <v>1</v>
      </c>
      <c r="I33" s="168"/>
      <c r="J33" s="170"/>
      <c r="K33" s="169"/>
      <c r="L33" s="169"/>
      <c r="M33" s="168">
        <v>1</v>
      </c>
      <c r="N33" s="169"/>
      <c r="O33" s="67" t="s">
        <v>270</v>
      </c>
    </row>
    <row r="34" spans="1:15" s="75" customFormat="1" ht="105">
      <c r="A34" s="342">
        <v>24</v>
      </c>
      <c r="B34" s="358" t="s">
        <v>294</v>
      </c>
      <c r="C34" s="281" t="s">
        <v>289</v>
      </c>
      <c r="D34" s="167">
        <f>133+370-369</f>
        <v>134</v>
      </c>
      <c r="E34" s="167">
        <f t="shared" si="6"/>
        <v>134</v>
      </c>
      <c r="F34" s="168">
        <v>133</v>
      </c>
      <c r="G34" s="169">
        <f t="shared" si="7"/>
        <v>1</v>
      </c>
      <c r="H34" s="170">
        <f t="shared" si="5"/>
        <v>1</v>
      </c>
      <c r="I34" s="168"/>
      <c r="J34" s="170"/>
      <c r="K34" s="169"/>
      <c r="L34" s="169"/>
      <c r="M34" s="168">
        <f>370-369</f>
        <v>1</v>
      </c>
      <c r="N34" s="169"/>
      <c r="O34" s="67" t="s">
        <v>270</v>
      </c>
    </row>
    <row r="35" spans="1:15" s="75" customFormat="1" ht="90">
      <c r="A35" s="342">
        <v>25</v>
      </c>
      <c r="B35" s="358" t="s">
        <v>295</v>
      </c>
      <c r="C35" s="281" t="s">
        <v>289</v>
      </c>
      <c r="D35" s="167">
        <v>258</v>
      </c>
      <c r="E35" s="167">
        <f t="shared" si="6"/>
        <v>258</v>
      </c>
      <c r="F35" s="168">
        <v>0</v>
      </c>
      <c r="G35" s="169">
        <f t="shared" si="7"/>
        <v>258</v>
      </c>
      <c r="H35" s="170">
        <f>SUM(I35:N35)</f>
        <v>258</v>
      </c>
      <c r="I35" s="168"/>
      <c r="J35" s="170"/>
      <c r="K35" s="169"/>
      <c r="L35" s="169"/>
      <c r="M35" s="168">
        <v>258</v>
      </c>
      <c r="N35" s="169"/>
      <c r="O35" s="67" t="s">
        <v>270</v>
      </c>
    </row>
    <row r="36" spans="1:15" s="75" customFormat="1" ht="90">
      <c r="A36" s="342">
        <v>26</v>
      </c>
      <c r="B36" s="358" t="s">
        <v>296</v>
      </c>
      <c r="C36" s="281" t="s">
        <v>289</v>
      </c>
      <c r="D36" s="167">
        <v>257</v>
      </c>
      <c r="E36" s="167">
        <f t="shared" si="6"/>
        <v>257</v>
      </c>
      <c r="F36" s="168">
        <v>0</v>
      </c>
      <c r="G36" s="169">
        <f t="shared" si="7"/>
        <v>257</v>
      </c>
      <c r="H36" s="170">
        <f t="shared" si="5"/>
        <v>257</v>
      </c>
      <c r="I36" s="168"/>
      <c r="J36" s="170"/>
      <c r="K36" s="169"/>
      <c r="L36" s="169"/>
      <c r="M36" s="168">
        <v>257</v>
      </c>
      <c r="N36" s="169"/>
      <c r="O36" s="67" t="s">
        <v>270</v>
      </c>
    </row>
    <row r="37" spans="1:15" s="75" customFormat="1" ht="56.25" customHeight="1">
      <c r="A37" s="342">
        <v>27</v>
      </c>
      <c r="B37" s="358" t="s">
        <v>297</v>
      </c>
      <c r="C37" s="281" t="s">
        <v>289</v>
      </c>
      <c r="D37" s="167">
        <v>321</v>
      </c>
      <c r="E37" s="167">
        <f t="shared" si="6"/>
        <v>321</v>
      </c>
      <c r="F37" s="168">
        <v>0</v>
      </c>
      <c r="G37" s="169">
        <f t="shared" si="7"/>
        <v>321</v>
      </c>
      <c r="H37" s="170">
        <f>SUM(I37:N37)</f>
        <v>321</v>
      </c>
      <c r="I37" s="168"/>
      <c r="J37" s="170"/>
      <c r="K37" s="169"/>
      <c r="L37" s="169"/>
      <c r="M37" s="168">
        <v>321</v>
      </c>
      <c r="N37" s="169"/>
      <c r="O37" s="67" t="s">
        <v>270</v>
      </c>
    </row>
    <row r="38" spans="1:15" s="75" customFormat="1" ht="56.25" customHeight="1">
      <c r="A38" s="342">
        <v>28</v>
      </c>
      <c r="B38" s="358" t="s">
        <v>298</v>
      </c>
      <c r="C38" s="281" t="s">
        <v>289</v>
      </c>
      <c r="D38" s="167">
        <v>325</v>
      </c>
      <c r="E38" s="167">
        <f t="shared" si="6"/>
        <v>325</v>
      </c>
      <c r="F38" s="168">
        <v>0</v>
      </c>
      <c r="G38" s="169">
        <f t="shared" si="7"/>
        <v>325</v>
      </c>
      <c r="H38" s="170">
        <f>SUM(I38:N38)</f>
        <v>325</v>
      </c>
      <c r="I38" s="168"/>
      <c r="J38" s="170"/>
      <c r="K38" s="169"/>
      <c r="L38" s="169"/>
      <c r="M38" s="168">
        <v>325</v>
      </c>
      <c r="N38" s="169"/>
      <c r="O38" s="67" t="s">
        <v>270</v>
      </c>
    </row>
    <row r="39" spans="1:15" s="74" customFormat="1" ht="83.25" customHeight="1">
      <c r="A39" s="342">
        <v>29</v>
      </c>
      <c r="B39" s="352" t="s">
        <v>299</v>
      </c>
      <c r="C39" s="195" t="s">
        <v>300</v>
      </c>
      <c r="D39" s="167">
        <f>56+2000</f>
        <v>2056</v>
      </c>
      <c r="E39" s="346">
        <f t="shared" si="3"/>
        <v>2056</v>
      </c>
      <c r="F39" s="168">
        <v>0</v>
      </c>
      <c r="G39" s="169">
        <f t="shared" si="4"/>
        <v>2056</v>
      </c>
      <c r="H39" s="170">
        <f t="shared" si="5"/>
        <v>2056</v>
      </c>
      <c r="I39" s="168"/>
      <c r="J39" s="170"/>
      <c r="K39" s="169">
        <v>0</v>
      </c>
      <c r="L39" s="169"/>
      <c r="M39" s="168">
        <f>56+2000</f>
        <v>2056</v>
      </c>
      <c r="N39" s="169"/>
      <c r="O39" s="67" t="s">
        <v>270</v>
      </c>
    </row>
    <row r="40" spans="1:15" s="74" customFormat="1" ht="75">
      <c r="A40" s="342">
        <v>30</v>
      </c>
      <c r="B40" s="343" t="s">
        <v>301</v>
      </c>
      <c r="C40" s="281" t="s">
        <v>300</v>
      </c>
      <c r="D40" s="167">
        <v>170</v>
      </c>
      <c r="E40" s="344">
        <f t="shared" si="3"/>
        <v>170</v>
      </c>
      <c r="F40" s="168">
        <v>0</v>
      </c>
      <c r="G40" s="169">
        <f t="shared" si="4"/>
        <v>170</v>
      </c>
      <c r="H40" s="170">
        <f>SUM(K40:N40)</f>
        <v>170</v>
      </c>
      <c r="I40" s="170"/>
      <c r="J40" s="170"/>
      <c r="K40" s="169"/>
      <c r="L40" s="169"/>
      <c r="M40" s="168">
        <v>170</v>
      </c>
      <c r="N40" s="169"/>
      <c r="O40" s="67" t="s">
        <v>270</v>
      </c>
    </row>
    <row r="41" spans="1:15" s="74" customFormat="1" ht="60">
      <c r="A41" s="342">
        <v>31</v>
      </c>
      <c r="B41" s="343" t="s">
        <v>302</v>
      </c>
      <c r="C41" s="281" t="s">
        <v>300</v>
      </c>
      <c r="D41" s="167">
        <v>31</v>
      </c>
      <c r="E41" s="344">
        <f>D41</f>
        <v>31</v>
      </c>
      <c r="F41" s="168">
        <v>0</v>
      </c>
      <c r="G41" s="169">
        <f>D41-F41</f>
        <v>31</v>
      </c>
      <c r="H41" s="170">
        <f>SUM(K41:N41)</f>
        <v>31</v>
      </c>
      <c r="I41" s="170"/>
      <c r="J41" s="170"/>
      <c r="K41" s="169"/>
      <c r="L41" s="169"/>
      <c r="M41" s="168">
        <v>31</v>
      </c>
      <c r="N41" s="169"/>
      <c r="O41" s="67" t="s">
        <v>270</v>
      </c>
    </row>
    <row r="42" spans="1:15" s="75" customFormat="1" ht="162" customHeight="1">
      <c r="A42" s="342">
        <v>32</v>
      </c>
      <c r="B42" s="343" t="s">
        <v>303</v>
      </c>
      <c r="C42" s="281" t="s">
        <v>300</v>
      </c>
      <c r="D42" s="167">
        <v>318</v>
      </c>
      <c r="E42" s="344">
        <f>D42</f>
        <v>318</v>
      </c>
      <c r="F42" s="168">
        <v>0</v>
      </c>
      <c r="G42" s="169">
        <f>D42-F42</f>
        <v>318</v>
      </c>
      <c r="H42" s="170">
        <f>SUM(K42:N42)</f>
        <v>318</v>
      </c>
      <c r="I42" s="170"/>
      <c r="J42" s="170"/>
      <c r="K42" s="169"/>
      <c r="L42" s="169"/>
      <c r="M42" s="168">
        <v>318</v>
      </c>
      <c r="N42" s="169"/>
      <c r="O42" s="67" t="s">
        <v>270</v>
      </c>
    </row>
    <row r="43" spans="1:15" s="75" customFormat="1" ht="27" customHeight="1">
      <c r="A43" s="156"/>
      <c r="B43" s="4"/>
      <c r="C43" s="173" t="s">
        <v>304</v>
      </c>
      <c r="D43" s="158">
        <f t="shared" ref="D43:N43" si="8">SUM(D11:D42)</f>
        <v>16596</v>
      </c>
      <c r="E43" s="158">
        <f t="shared" si="8"/>
        <v>16596</v>
      </c>
      <c r="F43" s="158">
        <f t="shared" si="8"/>
        <v>6851</v>
      </c>
      <c r="G43" s="158">
        <f t="shared" si="8"/>
        <v>9745</v>
      </c>
      <c r="H43" s="158">
        <f t="shared" si="8"/>
        <v>9745</v>
      </c>
      <c r="I43" s="158">
        <f t="shared" si="8"/>
        <v>1396</v>
      </c>
      <c r="J43" s="158">
        <f t="shared" si="8"/>
        <v>0</v>
      </c>
      <c r="K43" s="158">
        <f t="shared" si="8"/>
        <v>0</v>
      </c>
      <c r="L43" s="158">
        <f t="shared" si="8"/>
        <v>0</v>
      </c>
      <c r="M43" s="158">
        <f t="shared" si="8"/>
        <v>8349</v>
      </c>
      <c r="N43" s="158">
        <f t="shared" si="8"/>
        <v>0</v>
      </c>
      <c r="O43" s="74"/>
    </row>
    <row r="44" spans="1:15" s="75" customFormat="1" ht="27" customHeight="1">
      <c r="A44" s="156"/>
      <c r="B44" s="4"/>
      <c r="C44" s="157"/>
      <c r="D44" s="5"/>
      <c r="E44" s="5"/>
      <c r="F44" s="5"/>
      <c r="G44" s="5"/>
      <c r="H44" s="5"/>
      <c r="I44" s="5"/>
      <c r="J44" s="5"/>
      <c r="K44" s="5"/>
      <c r="L44" s="5"/>
      <c r="M44" s="5"/>
      <c r="N44" s="5"/>
      <c r="O44" s="74"/>
    </row>
    <row r="45" spans="1:15" s="75" customFormat="1" ht="15" customHeight="1">
      <c r="A45" s="156"/>
      <c r="B45" s="4"/>
      <c r="C45" s="157"/>
      <c r="D45" s="5"/>
      <c r="E45" s="5"/>
      <c r="F45" s="5"/>
      <c r="G45" s="5"/>
      <c r="H45" s="5"/>
      <c r="I45" s="5"/>
      <c r="J45" s="5"/>
      <c r="K45" s="5"/>
      <c r="L45" s="5"/>
      <c r="M45" s="5"/>
      <c r="N45" s="5"/>
      <c r="O45" s="74"/>
    </row>
    <row r="46" spans="1:15" s="75" customFormat="1" ht="57" hidden="1" customHeight="1">
      <c r="A46" s="156"/>
      <c r="B46" s="4"/>
      <c r="C46" s="157"/>
      <c r="D46" s="5"/>
      <c r="E46" s="5"/>
      <c r="F46" s="5"/>
      <c r="G46" s="5"/>
      <c r="H46" s="5"/>
      <c r="I46" s="5"/>
      <c r="J46" s="5"/>
      <c r="K46" s="5"/>
      <c r="L46" s="5"/>
      <c r="M46" s="5"/>
      <c r="N46" s="5"/>
      <c r="O46" s="74"/>
    </row>
    <row r="47" spans="1:15" s="75" customFormat="1" ht="28.5" hidden="1" customHeight="1" thickBot="1">
      <c r="A47" s="78" t="s">
        <v>305</v>
      </c>
      <c r="B47" s="92"/>
      <c r="C47" s="78"/>
      <c r="D47" s="9"/>
      <c r="E47" s="9"/>
      <c r="F47" s="9"/>
      <c r="G47" s="9"/>
      <c r="H47" s="9"/>
      <c r="I47" s="9"/>
      <c r="J47" s="9"/>
      <c r="K47" s="9"/>
      <c r="L47" s="9"/>
      <c r="M47" s="9"/>
      <c r="N47" s="73" t="s">
        <v>41</v>
      </c>
      <c r="O47" s="9"/>
    </row>
    <row r="48" spans="1:15" s="75" customFormat="1" ht="48.75" hidden="1" customHeight="1" thickBot="1">
      <c r="A48" s="185" t="s">
        <v>259</v>
      </c>
      <c r="B48" s="186" t="s">
        <v>260</v>
      </c>
      <c r="C48" s="187" t="s">
        <v>261</v>
      </c>
      <c r="D48" s="186" t="s">
        <v>262</v>
      </c>
      <c r="E48" s="188" t="s">
        <v>263</v>
      </c>
      <c r="F48" s="189" t="s">
        <v>306</v>
      </c>
      <c r="G48" s="189" t="s">
        <v>265</v>
      </c>
      <c r="H48" s="189" t="s">
        <v>307</v>
      </c>
      <c r="I48" s="86" t="s">
        <v>24</v>
      </c>
      <c r="J48" s="87" t="s">
        <v>25</v>
      </c>
      <c r="K48" s="190" t="s">
        <v>26</v>
      </c>
      <c r="L48" s="189" t="s">
        <v>27</v>
      </c>
      <c r="M48" s="189" t="s">
        <v>28</v>
      </c>
      <c r="N48" s="191" t="s">
        <v>267</v>
      </c>
    </row>
    <row r="49" spans="1:15" s="75" customFormat="1" ht="21" hidden="1" customHeight="1">
      <c r="A49" s="88">
        <v>1</v>
      </c>
      <c r="B49" s="132"/>
      <c r="C49" s="100"/>
      <c r="D49" s="167"/>
      <c r="E49" s="167"/>
      <c r="F49" s="168"/>
      <c r="G49" s="169"/>
      <c r="H49" s="170"/>
      <c r="I49" s="170"/>
      <c r="J49" s="170"/>
      <c r="K49" s="169"/>
      <c r="L49" s="169"/>
      <c r="M49" s="168"/>
      <c r="N49" s="169"/>
      <c r="O49" s="67" t="s">
        <v>270</v>
      </c>
    </row>
    <row r="50" spans="1:15" s="75" customFormat="1" ht="24.75" hidden="1" customHeight="1">
      <c r="A50" s="78"/>
      <c r="B50" s="92"/>
      <c r="C50" s="78" t="s">
        <v>304</v>
      </c>
      <c r="D50" s="93">
        <f t="shared" ref="D50:N50" si="9">SUM(D49:D49)</f>
        <v>0</v>
      </c>
      <c r="E50" s="93">
        <f t="shared" si="9"/>
        <v>0</v>
      </c>
      <c r="F50" s="93">
        <f t="shared" si="9"/>
        <v>0</v>
      </c>
      <c r="G50" s="93">
        <f t="shared" si="9"/>
        <v>0</v>
      </c>
      <c r="H50" s="93">
        <f t="shared" si="9"/>
        <v>0</v>
      </c>
      <c r="I50" s="93">
        <f t="shared" si="9"/>
        <v>0</v>
      </c>
      <c r="J50" s="93">
        <f t="shared" si="9"/>
        <v>0</v>
      </c>
      <c r="K50" s="93">
        <f t="shared" si="9"/>
        <v>0</v>
      </c>
      <c r="L50" s="93">
        <f t="shared" si="9"/>
        <v>0</v>
      </c>
      <c r="M50" s="93">
        <f t="shared" si="9"/>
        <v>0</v>
      </c>
      <c r="N50" s="93">
        <f t="shared" si="9"/>
        <v>0</v>
      </c>
    </row>
    <row r="51" spans="1:15" s="75" customFormat="1" ht="24.75" hidden="1" customHeight="1">
      <c r="A51" s="78"/>
      <c r="B51" s="92"/>
      <c r="C51" s="78"/>
      <c r="D51" s="9"/>
      <c r="E51" s="9"/>
      <c r="F51" s="9"/>
      <c r="G51" s="9"/>
      <c r="H51" s="9"/>
      <c r="I51" s="9"/>
      <c r="J51" s="9"/>
      <c r="K51" s="9"/>
      <c r="L51" s="9"/>
      <c r="M51" s="9"/>
      <c r="N51" s="9"/>
    </row>
    <row r="52" spans="1:15" s="75" customFormat="1" ht="14.25" customHeight="1">
      <c r="A52" s="78"/>
      <c r="B52" s="92"/>
      <c r="C52" s="78"/>
      <c r="D52" s="9"/>
      <c r="E52" s="9"/>
      <c r="F52" s="9"/>
      <c r="G52" s="9"/>
      <c r="H52" s="9"/>
      <c r="I52" s="9"/>
      <c r="J52" s="9"/>
      <c r="K52" s="9"/>
      <c r="L52" s="9"/>
      <c r="M52" s="9"/>
      <c r="N52" s="9"/>
    </row>
    <row r="53" spans="1:15" s="75" customFormat="1" ht="24.75" hidden="1" customHeight="1">
      <c r="A53" s="78"/>
      <c r="B53" s="92"/>
      <c r="C53" s="78"/>
      <c r="D53" s="9"/>
      <c r="E53" s="9"/>
      <c r="F53" s="9"/>
      <c r="G53" s="9"/>
      <c r="H53" s="9"/>
      <c r="I53" s="9"/>
      <c r="J53" s="9"/>
      <c r="K53" s="9"/>
      <c r="L53" s="9"/>
      <c r="M53" s="9"/>
      <c r="N53" s="9"/>
    </row>
    <row r="54" spans="1:15" s="75" customFormat="1" ht="24.75" hidden="1" customHeight="1">
      <c r="A54" s="78"/>
      <c r="B54" s="92"/>
      <c r="C54" s="78"/>
      <c r="D54" s="9"/>
      <c r="E54" s="9"/>
      <c r="F54" s="9"/>
      <c r="G54" s="9"/>
      <c r="H54" s="9"/>
      <c r="I54" s="9"/>
      <c r="J54" s="9"/>
      <c r="K54" s="9"/>
      <c r="L54" s="9"/>
      <c r="M54" s="9"/>
      <c r="N54" s="9"/>
    </row>
    <row r="55" spans="1:15" s="75" customFormat="1" ht="24.75" hidden="1" customHeight="1">
      <c r="A55" s="78"/>
      <c r="B55" s="92"/>
      <c r="C55" s="78"/>
      <c r="D55" s="9"/>
      <c r="E55" s="9"/>
      <c r="F55" s="9"/>
      <c r="G55" s="9"/>
      <c r="H55" s="9"/>
      <c r="I55" s="9"/>
      <c r="J55" s="9"/>
      <c r="K55" s="9"/>
      <c r="L55" s="9"/>
      <c r="M55" s="9"/>
      <c r="N55" s="9"/>
    </row>
    <row r="56" spans="1:15" s="74" customFormat="1" ht="28.5" customHeight="1" thickBot="1">
      <c r="A56" s="70" t="s">
        <v>308</v>
      </c>
      <c r="B56" s="4"/>
      <c r="C56" s="71"/>
      <c r="D56" s="72"/>
      <c r="E56" s="72"/>
      <c r="F56" s="4"/>
      <c r="G56" s="4"/>
      <c r="H56" s="4"/>
      <c r="I56" s="4"/>
      <c r="J56" s="4"/>
      <c r="K56" s="4"/>
      <c r="L56" s="69"/>
      <c r="M56" s="4"/>
      <c r="N56" s="73" t="s">
        <v>41</v>
      </c>
      <c r="O56" s="67"/>
    </row>
    <row r="57" spans="1:15" s="74" customFormat="1" ht="60" customHeight="1" thickBot="1">
      <c r="A57" s="185" t="s">
        <v>259</v>
      </c>
      <c r="B57" s="186" t="s">
        <v>260</v>
      </c>
      <c r="C57" s="187" t="s">
        <v>261</v>
      </c>
      <c r="D57" s="186" t="s">
        <v>262</v>
      </c>
      <c r="E57" s="188" t="s">
        <v>263</v>
      </c>
      <c r="F57" s="189" t="s">
        <v>264</v>
      </c>
      <c r="G57" s="189" t="s">
        <v>265</v>
      </c>
      <c r="H57" s="189" t="s">
        <v>266</v>
      </c>
      <c r="I57" s="86" t="s">
        <v>24</v>
      </c>
      <c r="J57" s="87" t="s">
        <v>25</v>
      </c>
      <c r="K57" s="190" t="s">
        <v>26</v>
      </c>
      <c r="L57" s="189" t="s">
        <v>27</v>
      </c>
      <c r="M57" s="189" t="s">
        <v>28</v>
      </c>
      <c r="N57" s="191" t="s">
        <v>267</v>
      </c>
      <c r="O57" s="67"/>
    </row>
    <row r="58" spans="1:15" s="75" customFormat="1" ht="140.25" customHeight="1">
      <c r="A58" s="360">
        <v>1</v>
      </c>
      <c r="B58" s="148" t="s">
        <v>309</v>
      </c>
      <c r="C58" s="281" t="s">
        <v>269</v>
      </c>
      <c r="D58" s="167">
        <f>166+678+60</f>
        <v>904</v>
      </c>
      <c r="E58" s="167">
        <f t="shared" ref="E58:E80" si="10">D58</f>
        <v>904</v>
      </c>
      <c r="F58" s="168">
        <v>166</v>
      </c>
      <c r="G58" s="169">
        <f t="shared" ref="G58:G91" si="11">D58-F58</f>
        <v>738</v>
      </c>
      <c r="H58" s="170">
        <f>SUM(K58:N58)</f>
        <v>738</v>
      </c>
      <c r="I58" s="170"/>
      <c r="J58" s="170"/>
      <c r="K58" s="169"/>
      <c r="L58" s="169"/>
      <c r="M58" s="168">
        <f>678+60</f>
        <v>738</v>
      </c>
      <c r="N58" s="169"/>
      <c r="O58" s="67" t="s">
        <v>270</v>
      </c>
    </row>
    <row r="59" spans="1:15" s="75" customFormat="1" ht="120">
      <c r="A59" s="360">
        <v>2</v>
      </c>
      <c r="B59" s="148" t="s">
        <v>310</v>
      </c>
      <c r="C59" s="281" t="s">
        <v>269</v>
      </c>
      <c r="D59" s="167">
        <f>17+54+62+60</f>
        <v>193</v>
      </c>
      <c r="E59" s="167">
        <f t="shared" si="10"/>
        <v>193</v>
      </c>
      <c r="F59" s="168">
        <f>17+54</f>
        <v>71</v>
      </c>
      <c r="G59" s="169">
        <f t="shared" si="11"/>
        <v>122</v>
      </c>
      <c r="H59" s="170">
        <f>SUM(K59:N59)</f>
        <v>122</v>
      </c>
      <c r="I59" s="170"/>
      <c r="J59" s="170"/>
      <c r="K59" s="169"/>
      <c r="L59" s="169"/>
      <c r="M59" s="168">
        <v>122</v>
      </c>
      <c r="N59" s="169"/>
      <c r="O59" s="67" t="s">
        <v>270</v>
      </c>
    </row>
    <row r="60" spans="1:15" s="75" customFormat="1" ht="129" customHeight="1">
      <c r="A60" s="360">
        <v>3</v>
      </c>
      <c r="B60" s="148" t="s">
        <v>311</v>
      </c>
      <c r="C60" s="281" t="s">
        <v>269</v>
      </c>
      <c r="D60" s="167">
        <f>19+64+63+60</f>
        <v>206</v>
      </c>
      <c r="E60" s="167">
        <f t="shared" si="10"/>
        <v>206</v>
      </c>
      <c r="F60" s="168">
        <f>19+64</f>
        <v>83</v>
      </c>
      <c r="G60" s="169">
        <f t="shared" si="11"/>
        <v>123</v>
      </c>
      <c r="H60" s="170">
        <f>SUM(K60:N60)</f>
        <v>123</v>
      </c>
      <c r="I60" s="170"/>
      <c r="J60" s="170"/>
      <c r="K60" s="169"/>
      <c r="L60" s="169"/>
      <c r="M60" s="168">
        <f>63+60</f>
        <v>123</v>
      </c>
      <c r="N60" s="169"/>
      <c r="O60" s="67" t="s">
        <v>270</v>
      </c>
    </row>
    <row r="61" spans="1:15" s="75" customFormat="1" ht="129.75" customHeight="1">
      <c r="A61" s="360">
        <v>4</v>
      </c>
      <c r="B61" s="148" t="s">
        <v>312</v>
      </c>
      <c r="C61" s="281" t="s">
        <v>269</v>
      </c>
      <c r="D61" s="167">
        <f>17+53+62+60</f>
        <v>192</v>
      </c>
      <c r="E61" s="167">
        <f t="shared" si="10"/>
        <v>192</v>
      </c>
      <c r="F61" s="168">
        <f>17+53</f>
        <v>70</v>
      </c>
      <c r="G61" s="169">
        <f t="shared" si="11"/>
        <v>122</v>
      </c>
      <c r="H61" s="170">
        <f>SUM(K61:N61)</f>
        <v>122</v>
      </c>
      <c r="I61" s="170"/>
      <c r="J61" s="170"/>
      <c r="K61" s="169"/>
      <c r="L61" s="169"/>
      <c r="M61" s="168">
        <f>62+60</f>
        <v>122</v>
      </c>
      <c r="N61" s="169"/>
      <c r="O61" s="67" t="s">
        <v>270</v>
      </c>
    </row>
    <row r="62" spans="1:15" s="75" customFormat="1" ht="121.5">
      <c r="A62" s="360">
        <v>5</v>
      </c>
      <c r="B62" s="132" t="s">
        <v>313</v>
      </c>
      <c r="C62" s="359" t="s">
        <v>269</v>
      </c>
      <c r="D62" s="167">
        <f>148+683+60</f>
        <v>891</v>
      </c>
      <c r="E62" s="344">
        <f t="shared" si="10"/>
        <v>891</v>
      </c>
      <c r="F62" s="168">
        <v>148</v>
      </c>
      <c r="G62" s="169">
        <f t="shared" si="11"/>
        <v>743</v>
      </c>
      <c r="H62" s="170">
        <f t="shared" ref="H62:H68" si="12">SUM(I62:N62)</f>
        <v>743</v>
      </c>
      <c r="I62" s="168"/>
      <c r="J62" s="170"/>
      <c r="K62" s="169"/>
      <c r="L62" s="169"/>
      <c r="M62" s="168">
        <f>683+60</f>
        <v>743</v>
      </c>
      <c r="N62" s="169"/>
      <c r="O62" s="67" t="s">
        <v>270</v>
      </c>
    </row>
    <row r="63" spans="1:15" s="75" customFormat="1" ht="121.5">
      <c r="A63" s="360">
        <v>6</v>
      </c>
      <c r="B63" s="132" t="s">
        <v>314</v>
      </c>
      <c r="C63" s="359" t="s">
        <v>269</v>
      </c>
      <c r="D63" s="167">
        <f>149+691+60</f>
        <v>900</v>
      </c>
      <c r="E63" s="344">
        <f t="shared" si="10"/>
        <v>900</v>
      </c>
      <c r="F63" s="168">
        <v>149</v>
      </c>
      <c r="G63" s="169">
        <f t="shared" si="11"/>
        <v>751</v>
      </c>
      <c r="H63" s="170">
        <f t="shared" si="12"/>
        <v>751</v>
      </c>
      <c r="I63" s="168"/>
      <c r="J63" s="170"/>
      <c r="K63" s="169"/>
      <c r="L63" s="169"/>
      <c r="M63" s="168">
        <f>691+60</f>
        <v>751</v>
      </c>
      <c r="N63" s="169"/>
      <c r="O63" s="67" t="s">
        <v>270</v>
      </c>
    </row>
    <row r="64" spans="1:15" s="75" customFormat="1" ht="108">
      <c r="A64" s="360">
        <v>7</v>
      </c>
      <c r="B64" s="132" t="s">
        <v>315</v>
      </c>
      <c r="C64" s="359" t="s">
        <v>269</v>
      </c>
      <c r="D64" s="167">
        <f>110+548+60</f>
        <v>718</v>
      </c>
      <c r="E64" s="344">
        <f t="shared" si="10"/>
        <v>718</v>
      </c>
      <c r="F64" s="168">
        <v>110</v>
      </c>
      <c r="G64" s="169">
        <f t="shared" si="11"/>
        <v>608</v>
      </c>
      <c r="H64" s="170">
        <f t="shared" si="12"/>
        <v>608</v>
      </c>
      <c r="I64" s="168"/>
      <c r="J64" s="170"/>
      <c r="K64" s="169"/>
      <c r="L64" s="169"/>
      <c r="M64" s="168">
        <f>548+60</f>
        <v>608</v>
      </c>
      <c r="N64" s="169"/>
      <c r="O64" s="67" t="s">
        <v>270</v>
      </c>
    </row>
    <row r="65" spans="1:15" s="75" customFormat="1" ht="108">
      <c r="A65" s="360">
        <v>8</v>
      </c>
      <c r="B65" s="132" t="s">
        <v>316</v>
      </c>
      <c r="C65" s="359" t="s">
        <v>269</v>
      </c>
      <c r="D65" s="167">
        <f>110+615</f>
        <v>725</v>
      </c>
      <c r="E65" s="344">
        <f t="shared" si="10"/>
        <v>725</v>
      </c>
      <c r="F65" s="168">
        <f>0+110</f>
        <v>110</v>
      </c>
      <c r="G65" s="169">
        <f t="shared" si="11"/>
        <v>615</v>
      </c>
      <c r="H65" s="170">
        <f t="shared" si="12"/>
        <v>615</v>
      </c>
      <c r="I65" s="168"/>
      <c r="J65" s="170"/>
      <c r="K65" s="169"/>
      <c r="L65" s="169"/>
      <c r="M65" s="168">
        <v>615</v>
      </c>
      <c r="N65" s="169"/>
      <c r="O65" s="67" t="s">
        <v>270</v>
      </c>
    </row>
    <row r="66" spans="1:15" s="75" customFormat="1" ht="121.5">
      <c r="A66" s="360">
        <v>9</v>
      </c>
      <c r="B66" s="132" t="s">
        <v>317</v>
      </c>
      <c r="C66" s="359" t="s">
        <v>269</v>
      </c>
      <c r="D66" s="167">
        <f>67+597+60</f>
        <v>724</v>
      </c>
      <c r="E66" s="344">
        <f t="shared" si="10"/>
        <v>724</v>
      </c>
      <c r="F66" s="168">
        <v>67</v>
      </c>
      <c r="G66" s="169">
        <f t="shared" si="11"/>
        <v>657</v>
      </c>
      <c r="H66" s="170">
        <f t="shared" si="12"/>
        <v>657</v>
      </c>
      <c r="I66" s="168"/>
      <c r="J66" s="170"/>
      <c r="K66" s="169"/>
      <c r="L66" s="169"/>
      <c r="M66" s="168">
        <f>597+60</f>
        <v>657</v>
      </c>
      <c r="N66" s="169"/>
      <c r="O66" s="67" t="s">
        <v>270</v>
      </c>
    </row>
    <row r="67" spans="1:15" s="75" customFormat="1" ht="53.25" customHeight="1">
      <c r="A67" s="360">
        <v>10</v>
      </c>
      <c r="B67" s="132" t="s">
        <v>318</v>
      </c>
      <c r="C67" s="359" t="s">
        <v>269</v>
      </c>
      <c r="D67" s="167">
        <v>10</v>
      </c>
      <c r="E67" s="344">
        <f>D67</f>
        <v>10</v>
      </c>
      <c r="F67" s="168">
        <v>0</v>
      </c>
      <c r="G67" s="169">
        <f>D67-F67</f>
        <v>10</v>
      </c>
      <c r="H67" s="170">
        <f>SUM(I67:N67)</f>
        <v>10</v>
      </c>
      <c r="I67" s="168"/>
      <c r="J67" s="170"/>
      <c r="K67" s="169"/>
      <c r="L67" s="169"/>
      <c r="M67" s="168">
        <v>10</v>
      </c>
      <c r="N67" s="169"/>
      <c r="O67" s="67" t="s">
        <v>270</v>
      </c>
    </row>
    <row r="68" spans="1:15" s="75" customFormat="1" ht="52.5" customHeight="1">
      <c r="A68" s="360">
        <v>11</v>
      </c>
      <c r="B68" s="132" t="s">
        <v>319</v>
      </c>
      <c r="C68" s="359" t="s">
        <v>269</v>
      </c>
      <c r="D68" s="167">
        <f>10+250-135</f>
        <v>125</v>
      </c>
      <c r="E68" s="344">
        <f t="shared" si="10"/>
        <v>125</v>
      </c>
      <c r="F68" s="168">
        <v>124</v>
      </c>
      <c r="G68" s="169">
        <f t="shared" si="11"/>
        <v>1</v>
      </c>
      <c r="H68" s="170">
        <f t="shared" si="12"/>
        <v>1</v>
      </c>
      <c r="I68" s="168"/>
      <c r="J68" s="170"/>
      <c r="K68" s="169"/>
      <c r="L68" s="169"/>
      <c r="M68" s="168">
        <v>1</v>
      </c>
      <c r="N68" s="169"/>
      <c r="O68" s="67" t="s">
        <v>270</v>
      </c>
    </row>
    <row r="69" spans="1:15" s="75" customFormat="1" ht="105">
      <c r="A69" s="360">
        <v>12</v>
      </c>
      <c r="B69" s="148" t="s">
        <v>320</v>
      </c>
      <c r="C69" s="281" t="s">
        <v>269</v>
      </c>
      <c r="D69" s="167">
        <v>11</v>
      </c>
      <c r="E69" s="167">
        <f t="shared" si="10"/>
        <v>11</v>
      </c>
      <c r="F69" s="168">
        <v>0</v>
      </c>
      <c r="G69" s="169">
        <f t="shared" si="11"/>
        <v>11</v>
      </c>
      <c r="H69" s="170">
        <f>SUM(K69:N69)</f>
        <v>11</v>
      </c>
      <c r="I69" s="170"/>
      <c r="J69" s="170"/>
      <c r="K69" s="169">
        <f>12-1</f>
        <v>11</v>
      </c>
      <c r="L69" s="169"/>
      <c r="M69" s="168"/>
      <c r="N69" s="169"/>
      <c r="O69" s="67" t="s">
        <v>270</v>
      </c>
    </row>
    <row r="70" spans="1:15" s="75" customFormat="1" ht="105">
      <c r="A70" s="360">
        <v>13</v>
      </c>
      <c r="B70" s="148" t="s">
        <v>321</v>
      </c>
      <c r="C70" s="281" t="s">
        <v>269</v>
      </c>
      <c r="D70" s="167">
        <v>11</v>
      </c>
      <c r="E70" s="167">
        <f t="shared" si="10"/>
        <v>11</v>
      </c>
      <c r="F70" s="168">
        <v>0</v>
      </c>
      <c r="G70" s="169">
        <f t="shared" si="11"/>
        <v>11</v>
      </c>
      <c r="H70" s="170">
        <f>SUM(K70:N70)</f>
        <v>11</v>
      </c>
      <c r="I70" s="170"/>
      <c r="J70" s="170"/>
      <c r="K70" s="169">
        <f>12-1</f>
        <v>11</v>
      </c>
      <c r="L70" s="169"/>
      <c r="M70" s="168"/>
      <c r="N70" s="169"/>
      <c r="O70" s="67" t="s">
        <v>270</v>
      </c>
    </row>
    <row r="71" spans="1:15" s="75" customFormat="1" ht="119.25" customHeight="1">
      <c r="A71" s="360">
        <v>14</v>
      </c>
      <c r="B71" s="361" t="s">
        <v>322</v>
      </c>
      <c r="C71" s="281" t="s">
        <v>269</v>
      </c>
      <c r="D71" s="167">
        <v>796</v>
      </c>
      <c r="E71" s="167">
        <f t="shared" si="10"/>
        <v>796</v>
      </c>
      <c r="F71" s="168">
        <f>78+395</f>
        <v>473</v>
      </c>
      <c r="G71" s="169">
        <f t="shared" si="11"/>
        <v>323</v>
      </c>
      <c r="H71" s="170">
        <f t="shared" ref="H71:H81" si="13">SUM(I71:N71)</f>
        <v>323</v>
      </c>
      <c r="I71" s="168">
        <v>323</v>
      </c>
      <c r="J71" s="170"/>
      <c r="K71" s="169"/>
      <c r="L71" s="169"/>
      <c r="M71" s="168"/>
      <c r="N71" s="169"/>
      <c r="O71" s="67" t="s">
        <v>270</v>
      </c>
    </row>
    <row r="72" spans="1:15" s="75" customFormat="1" ht="95.25" customHeight="1">
      <c r="A72" s="360">
        <v>15</v>
      </c>
      <c r="B72" s="352" t="s">
        <v>323</v>
      </c>
      <c r="C72" s="281" t="s">
        <v>269</v>
      </c>
      <c r="D72" s="167">
        <v>741</v>
      </c>
      <c r="E72" s="167">
        <f t="shared" si="10"/>
        <v>741</v>
      </c>
      <c r="F72" s="168">
        <f>28+33+412</f>
        <v>473</v>
      </c>
      <c r="G72" s="169">
        <f t="shared" si="11"/>
        <v>268</v>
      </c>
      <c r="H72" s="170">
        <f t="shared" si="13"/>
        <v>268</v>
      </c>
      <c r="I72" s="168">
        <v>268</v>
      </c>
      <c r="J72" s="170"/>
      <c r="K72" s="169"/>
      <c r="L72" s="169"/>
      <c r="M72" s="168"/>
      <c r="N72" s="169"/>
      <c r="O72" s="67" t="s">
        <v>270</v>
      </c>
    </row>
    <row r="73" spans="1:15" s="75" customFormat="1" ht="134.25" customHeight="1">
      <c r="A73" s="360">
        <v>16</v>
      </c>
      <c r="B73" s="148" t="s">
        <v>324</v>
      </c>
      <c r="C73" s="281" t="s">
        <v>269</v>
      </c>
      <c r="D73" s="167">
        <v>757</v>
      </c>
      <c r="E73" s="167">
        <f t="shared" si="10"/>
        <v>757</v>
      </c>
      <c r="F73" s="168">
        <f>88+476</f>
        <v>564</v>
      </c>
      <c r="G73" s="169">
        <f t="shared" si="11"/>
        <v>193</v>
      </c>
      <c r="H73" s="170">
        <f t="shared" si="13"/>
        <v>193</v>
      </c>
      <c r="I73" s="168">
        <v>193</v>
      </c>
      <c r="J73" s="170"/>
      <c r="K73" s="169"/>
      <c r="L73" s="169"/>
      <c r="M73" s="168"/>
      <c r="N73" s="169"/>
      <c r="O73" s="67" t="s">
        <v>270</v>
      </c>
    </row>
    <row r="74" spans="1:15" s="75" customFormat="1" ht="125.25" customHeight="1">
      <c r="A74" s="360">
        <v>17</v>
      </c>
      <c r="B74" s="148" t="s">
        <v>325</v>
      </c>
      <c r="C74" s="281" t="s">
        <v>269</v>
      </c>
      <c r="D74" s="167">
        <v>127</v>
      </c>
      <c r="E74" s="167">
        <f t="shared" si="10"/>
        <v>127</v>
      </c>
      <c r="F74" s="168">
        <f>17+49</f>
        <v>66</v>
      </c>
      <c r="G74" s="169">
        <f t="shared" si="11"/>
        <v>61</v>
      </c>
      <c r="H74" s="170">
        <f t="shared" si="13"/>
        <v>61</v>
      </c>
      <c r="I74" s="168">
        <v>61</v>
      </c>
      <c r="J74" s="170"/>
      <c r="K74" s="169"/>
      <c r="L74" s="169"/>
      <c r="M74" s="168"/>
      <c r="N74" s="169"/>
      <c r="O74" s="67" t="s">
        <v>270</v>
      </c>
    </row>
    <row r="75" spans="1:15" s="75" customFormat="1" ht="130.5" customHeight="1">
      <c r="A75" s="360">
        <v>18</v>
      </c>
      <c r="B75" s="148" t="s">
        <v>326</v>
      </c>
      <c r="C75" s="281" t="s">
        <v>269</v>
      </c>
      <c r="D75" s="167">
        <v>246</v>
      </c>
      <c r="E75" s="167">
        <f t="shared" si="10"/>
        <v>246</v>
      </c>
      <c r="F75" s="168">
        <f>22+144</f>
        <v>166</v>
      </c>
      <c r="G75" s="169">
        <f t="shared" si="11"/>
        <v>80</v>
      </c>
      <c r="H75" s="170">
        <f t="shared" si="13"/>
        <v>80</v>
      </c>
      <c r="I75" s="168">
        <v>80</v>
      </c>
      <c r="J75" s="170"/>
      <c r="K75" s="169"/>
      <c r="L75" s="169"/>
      <c r="M75" s="168"/>
      <c r="N75" s="169"/>
      <c r="O75" s="67" t="s">
        <v>270</v>
      </c>
    </row>
    <row r="76" spans="1:15" s="75" customFormat="1" ht="136.5" customHeight="1">
      <c r="A76" s="360">
        <v>19</v>
      </c>
      <c r="B76" s="148" t="s">
        <v>327</v>
      </c>
      <c r="C76" s="281" t="s">
        <v>269</v>
      </c>
      <c r="D76" s="167">
        <v>127</v>
      </c>
      <c r="E76" s="167">
        <f t="shared" si="10"/>
        <v>127</v>
      </c>
      <c r="F76" s="168">
        <f>17+49</f>
        <v>66</v>
      </c>
      <c r="G76" s="169">
        <f t="shared" si="11"/>
        <v>61</v>
      </c>
      <c r="H76" s="170">
        <f t="shared" si="13"/>
        <v>61</v>
      </c>
      <c r="I76" s="168">
        <v>61</v>
      </c>
      <c r="J76" s="170"/>
      <c r="K76" s="169"/>
      <c r="L76" s="169"/>
      <c r="M76" s="168"/>
      <c r="N76" s="169"/>
      <c r="O76" s="67" t="s">
        <v>270</v>
      </c>
    </row>
    <row r="77" spans="1:15" s="75" customFormat="1" ht="136.5" customHeight="1">
      <c r="A77" s="360">
        <v>20</v>
      </c>
      <c r="B77" s="148" t="s">
        <v>328</v>
      </c>
      <c r="C77" s="281" t="s">
        <v>269</v>
      </c>
      <c r="D77" s="167">
        <v>344</v>
      </c>
      <c r="E77" s="167">
        <f t="shared" si="10"/>
        <v>344</v>
      </c>
      <c r="F77" s="168">
        <f>44+69+111</f>
        <v>224</v>
      </c>
      <c r="G77" s="169">
        <f t="shared" si="11"/>
        <v>120</v>
      </c>
      <c r="H77" s="170">
        <f t="shared" si="13"/>
        <v>120</v>
      </c>
      <c r="I77" s="168">
        <v>120</v>
      </c>
      <c r="J77" s="170"/>
      <c r="K77" s="169"/>
      <c r="L77" s="169"/>
      <c r="M77" s="168"/>
      <c r="N77" s="169"/>
      <c r="O77" s="67" t="s">
        <v>270</v>
      </c>
    </row>
    <row r="78" spans="1:15" s="75" customFormat="1" ht="136.5" customHeight="1">
      <c r="A78" s="360">
        <v>21</v>
      </c>
      <c r="B78" s="148" t="s">
        <v>329</v>
      </c>
      <c r="C78" s="281" t="s">
        <v>269</v>
      </c>
      <c r="D78" s="167">
        <v>557</v>
      </c>
      <c r="E78" s="167">
        <f t="shared" si="10"/>
        <v>557</v>
      </c>
      <c r="F78" s="168">
        <f>23+37+137</f>
        <v>197</v>
      </c>
      <c r="G78" s="169">
        <f t="shared" si="11"/>
        <v>360</v>
      </c>
      <c r="H78" s="170">
        <f t="shared" si="13"/>
        <v>360</v>
      </c>
      <c r="I78" s="168">
        <v>360</v>
      </c>
      <c r="J78" s="170"/>
      <c r="K78" s="169"/>
      <c r="L78" s="169"/>
      <c r="M78" s="168"/>
      <c r="N78" s="169"/>
      <c r="O78" s="67" t="s">
        <v>270</v>
      </c>
    </row>
    <row r="79" spans="1:15" s="75" customFormat="1" ht="111" customHeight="1">
      <c r="A79" s="360">
        <v>22</v>
      </c>
      <c r="B79" s="132" t="s">
        <v>330</v>
      </c>
      <c r="C79" s="359" t="s">
        <v>269</v>
      </c>
      <c r="D79" s="167">
        <v>606</v>
      </c>
      <c r="E79" s="344">
        <f t="shared" si="10"/>
        <v>606</v>
      </c>
      <c r="F79" s="168">
        <f>43+298</f>
        <v>341</v>
      </c>
      <c r="G79" s="169">
        <f t="shared" si="11"/>
        <v>265</v>
      </c>
      <c r="H79" s="170">
        <f t="shared" si="13"/>
        <v>265</v>
      </c>
      <c r="I79" s="168">
        <v>265</v>
      </c>
      <c r="J79" s="170"/>
      <c r="K79" s="169"/>
      <c r="L79" s="169"/>
      <c r="M79" s="168"/>
      <c r="N79" s="169"/>
      <c r="O79" s="67" t="s">
        <v>270</v>
      </c>
    </row>
    <row r="80" spans="1:15" s="75" customFormat="1" ht="111" customHeight="1">
      <c r="A80" s="360">
        <v>23</v>
      </c>
      <c r="B80" s="132" t="s">
        <v>331</v>
      </c>
      <c r="C80" s="359" t="s">
        <v>269</v>
      </c>
      <c r="D80" s="167">
        <v>502</v>
      </c>
      <c r="E80" s="344">
        <f t="shared" si="10"/>
        <v>502</v>
      </c>
      <c r="F80" s="168">
        <f>36+166</f>
        <v>202</v>
      </c>
      <c r="G80" s="169">
        <f t="shared" si="11"/>
        <v>300</v>
      </c>
      <c r="H80" s="170">
        <f t="shared" si="13"/>
        <v>300</v>
      </c>
      <c r="I80" s="168">
        <v>300</v>
      </c>
      <c r="J80" s="170"/>
      <c r="K80" s="169"/>
      <c r="L80" s="169"/>
      <c r="M80" s="168"/>
      <c r="N80" s="169"/>
      <c r="O80" s="67" t="s">
        <v>270</v>
      </c>
    </row>
    <row r="81" spans="1:15" s="75" customFormat="1" ht="111" customHeight="1">
      <c r="A81" s="360">
        <v>24</v>
      </c>
      <c r="B81" s="132" t="s">
        <v>332</v>
      </c>
      <c r="C81" s="359" t="s">
        <v>269</v>
      </c>
      <c r="D81" s="167">
        <v>540</v>
      </c>
      <c r="E81" s="344">
        <f t="shared" ref="E81:E90" si="14">D81</f>
        <v>540</v>
      </c>
      <c r="F81" s="168">
        <f>34+235</f>
        <v>269</v>
      </c>
      <c r="G81" s="169">
        <f t="shared" si="11"/>
        <v>271</v>
      </c>
      <c r="H81" s="170">
        <f t="shared" si="13"/>
        <v>271</v>
      </c>
      <c r="I81" s="168">
        <v>271</v>
      </c>
      <c r="J81" s="170"/>
      <c r="K81" s="169"/>
      <c r="L81" s="169"/>
      <c r="M81" s="168"/>
      <c r="N81" s="169"/>
      <c r="O81" s="67" t="s">
        <v>270</v>
      </c>
    </row>
    <row r="82" spans="1:15" s="75" customFormat="1" ht="111" customHeight="1">
      <c r="A82" s="360">
        <v>25</v>
      </c>
      <c r="B82" s="132" t="s">
        <v>333</v>
      </c>
      <c r="C82" s="359" t="s">
        <v>269</v>
      </c>
      <c r="D82" s="167">
        <v>683</v>
      </c>
      <c r="E82" s="344">
        <f t="shared" si="14"/>
        <v>683</v>
      </c>
      <c r="F82" s="168">
        <f>113+247</f>
        <v>360</v>
      </c>
      <c r="G82" s="169">
        <f t="shared" si="11"/>
        <v>323</v>
      </c>
      <c r="H82" s="170">
        <f t="shared" ref="H82:H90" si="15">SUM(I82:N82)</f>
        <v>323</v>
      </c>
      <c r="I82" s="168">
        <v>323</v>
      </c>
      <c r="J82" s="170"/>
      <c r="K82" s="169"/>
      <c r="L82" s="169"/>
      <c r="M82" s="168"/>
      <c r="N82" s="169"/>
      <c r="O82" s="67" t="s">
        <v>270</v>
      </c>
    </row>
    <row r="83" spans="1:15" s="75" customFormat="1" ht="101.25" customHeight="1">
      <c r="A83" s="360">
        <v>26</v>
      </c>
      <c r="B83" s="132" t="s">
        <v>334</v>
      </c>
      <c r="C83" s="359" t="s">
        <v>269</v>
      </c>
      <c r="D83" s="167">
        <v>575</v>
      </c>
      <c r="E83" s="344">
        <f t="shared" si="14"/>
        <v>575</v>
      </c>
      <c r="F83" s="168">
        <f>34+273</f>
        <v>307</v>
      </c>
      <c r="G83" s="169">
        <f t="shared" si="11"/>
        <v>268</v>
      </c>
      <c r="H83" s="170">
        <f t="shared" si="15"/>
        <v>268</v>
      </c>
      <c r="I83" s="168">
        <v>268</v>
      </c>
      <c r="J83" s="170"/>
      <c r="K83" s="169"/>
      <c r="L83" s="169"/>
      <c r="M83" s="168"/>
      <c r="N83" s="169"/>
      <c r="O83" s="67" t="s">
        <v>270</v>
      </c>
    </row>
    <row r="84" spans="1:15" s="75" customFormat="1" ht="99.75" customHeight="1">
      <c r="A84" s="360">
        <v>27</v>
      </c>
      <c r="B84" s="132" t="s">
        <v>335</v>
      </c>
      <c r="C84" s="359" t="s">
        <v>269</v>
      </c>
      <c r="D84" s="167">
        <v>507</v>
      </c>
      <c r="E84" s="344">
        <f t="shared" si="14"/>
        <v>507</v>
      </c>
      <c r="F84" s="168">
        <f>15+202</f>
        <v>217</v>
      </c>
      <c r="G84" s="169">
        <f t="shared" si="11"/>
        <v>290</v>
      </c>
      <c r="H84" s="170">
        <f t="shared" si="15"/>
        <v>290</v>
      </c>
      <c r="I84" s="168">
        <v>290</v>
      </c>
      <c r="J84" s="170"/>
      <c r="K84" s="169"/>
      <c r="L84" s="169"/>
      <c r="M84" s="168"/>
      <c r="N84" s="169"/>
      <c r="O84" s="67" t="s">
        <v>270</v>
      </c>
    </row>
    <row r="85" spans="1:15" s="75" customFormat="1" ht="111" customHeight="1">
      <c r="A85" s="360">
        <v>28</v>
      </c>
      <c r="B85" s="132" t="s">
        <v>336</v>
      </c>
      <c r="C85" s="359" t="s">
        <v>269</v>
      </c>
      <c r="D85" s="167">
        <v>509</v>
      </c>
      <c r="E85" s="344">
        <f t="shared" si="14"/>
        <v>509</v>
      </c>
      <c r="F85" s="168">
        <f>18+186</f>
        <v>204</v>
      </c>
      <c r="G85" s="169">
        <f t="shared" si="11"/>
        <v>305</v>
      </c>
      <c r="H85" s="170">
        <f t="shared" si="15"/>
        <v>305</v>
      </c>
      <c r="I85" s="168">
        <v>305</v>
      </c>
      <c r="J85" s="170"/>
      <c r="K85" s="169"/>
      <c r="L85" s="169"/>
      <c r="M85" s="168"/>
      <c r="N85" s="169"/>
      <c r="O85" s="67" t="s">
        <v>270</v>
      </c>
    </row>
    <row r="86" spans="1:15" s="75" customFormat="1" ht="111" customHeight="1">
      <c r="A86" s="360">
        <v>29</v>
      </c>
      <c r="B86" s="132" t="s">
        <v>337</v>
      </c>
      <c r="C86" s="359" t="s">
        <v>269</v>
      </c>
      <c r="D86" s="167">
        <v>531</v>
      </c>
      <c r="E86" s="344">
        <f t="shared" si="14"/>
        <v>531</v>
      </c>
      <c r="F86" s="168">
        <f>37+160</f>
        <v>197</v>
      </c>
      <c r="G86" s="169">
        <f t="shared" si="11"/>
        <v>334</v>
      </c>
      <c r="H86" s="170">
        <f t="shared" si="15"/>
        <v>334</v>
      </c>
      <c r="I86" s="168">
        <v>334</v>
      </c>
      <c r="J86" s="170"/>
      <c r="K86" s="169"/>
      <c r="L86" s="169"/>
      <c r="M86" s="168"/>
      <c r="N86" s="169"/>
      <c r="O86" s="67" t="s">
        <v>270</v>
      </c>
    </row>
    <row r="87" spans="1:15" s="75" customFormat="1" ht="111" customHeight="1">
      <c r="A87" s="360">
        <v>30</v>
      </c>
      <c r="B87" s="132" t="s">
        <v>338</v>
      </c>
      <c r="C87" s="359" t="s">
        <v>269</v>
      </c>
      <c r="D87" s="167">
        <v>673</v>
      </c>
      <c r="E87" s="344">
        <f t="shared" si="14"/>
        <v>673</v>
      </c>
      <c r="F87" s="168">
        <f>34+189</f>
        <v>223</v>
      </c>
      <c r="G87" s="169">
        <f t="shared" si="11"/>
        <v>450</v>
      </c>
      <c r="H87" s="170">
        <f t="shared" si="15"/>
        <v>450</v>
      </c>
      <c r="I87" s="168">
        <v>450</v>
      </c>
      <c r="J87" s="170"/>
      <c r="K87" s="169"/>
      <c r="L87" s="169"/>
      <c r="M87" s="168"/>
      <c r="N87" s="169"/>
      <c r="O87" s="67" t="s">
        <v>270</v>
      </c>
    </row>
    <row r="88" spans="1:15" s="75" customFormat="1" ht="111" customHeight="1">
      <c r="A88" s="360">
        <v>31</v>
      </c>
      <c r="B88" s="132" t="s">
        <v>339</v>
      </c>
      <c r="C88" s="359" t="s">
        <v>269</v>
      </c>
      <c r="D88" s="167">
        <v>690</v>
      </c>
      <c r="E88" s="344">
        <f t="shared" si="14"/>
        <v>690</v>
      </c>
      <c r="F88" s="168">
        <f>50+190</f>
        <v>240</v>
      </c>
      <c r="G88" s="169">
        <f t="shared" si="11"/>
        <v>450</v>
      </c>
      <c r="H88" s="170">
        <f t="shared" si="15"/>
        <v>450</v>
      </c>
      <c r="I88" s="168">
        <v>450</v>
      </c>
      <c r="J88" s="170"/>
      <c r="K88" s="169"/>
      <c r="L88" s="169"/>
      <c r="M88" s="168"/>
      <c r="N88" s="169"/>
      <c r="O88" s="67" t="s">
        <v>270</v>
      </c>
    </row>
    <row r="89" spans="1:15" s="75" customFormat="1" ht="99" customHeight="1">
      <c r="A89" s="360">
        <v>32</v>
      </c>
      <c r="B89" s="132" t="s">
        <v>340</v>
      </c>
      <c r="C89" s="359" t="s">
        <v>269</v>
      </c>
      <c r="D89" s="167">
        <v>666</v>
      </c>
      <c r="E89" s="344">
        <f t="shared" si="14"/>
        <v>666</v>
      </c>
      <c r="F89" s="168">
        <f>56+264</f>
        <v>320</v>
      </c>
      <c r="G89" s="169">
        <f t="shared" si="11"/>
        <v>346</v>
      </c>
      <c r="H89" s="170">
        <f t="shared" si="15"/>
        <v>346</v>
      </c>
      <c r="I89" s="168">
        <v>346</v>
      </c>
      <c r="J89" s="170"/>
      <c r="K89" s="169"/>
      <c r="L89" s="169"/>
      <c r="M89" s="168"/>
      <c r="N89" s="169"/>
      <c r="O89" s="67" t="s">
        <v>270</v>
      </c>
    </row>
    <row r="90" spans="1:15" s="75" customFormat="1" ht="101.25" customHeight="1">
      <c r="A90" s="360">
        <v>33</v>
      </c>
      <c r="B90" s="132" t="s">
        <v>341</v>
      </c>
      <c r="C90" s="359" t="s">
        <v>269</v>
      </c>
      <c r="D90" s="167">
        <v>508</v>
      </c>
      <c r="E90" s="344">
        <f t="shared" si="14"/>
        <v>508</v>
      </c>
      <c r="F90" s="168">
        <f>39+192</f>
        <v>231</v>
      </c>
      <c r="G90" s="169">
        <f t="shared" si="11"/>
        <v>277</v>
      </c>
      <c r="H90" s="170">
        <f t="shared" si="15"/>
        <v>277</v>
      </c>
      <c r="I90" s="168">
        <v>277</v>
      </c>
      <c r="J90" s="170"/>
      <c r="K90" s="169"/>
      <c r="L90" s="169"/>
      <c r="M90" s="168"/>
      <c r="N90" s="169"/>
      <c r="O90" s="67" t="s">
        <v>270</v>
      </c>
    </row>
    <row r="91" spans="1:15" s="75" customFormat="1" ht="94.5" customHeight="1">
      <c r="A91" s="360">
        <v>34</v>
      </c>
      <c r="B91" s="132" t="s">
        <v>342</v>
      </c>
      <c r="C91" s="359" t="s">
        <v>269</v>
      </c>
      <c r="D91" s="167">
        <v>609</v>
      </c>
      <c r="E91" s="344">
        <f>D91</f>
        <v>609</v>
      </c>
      <c r="F91" s="168">
        <f>39+422</f>
        <v>461</v>
      </c>
      <c r="G91" s="169">
        <f t="shared" si="11"/>
        <v>148</v>
      </c>
      <c r="H91" s="170">
        <f>SUM(I91:N91)</f>
        <v>148</v>
      </c>
      <c r="I91" s="168">
        <v>148</v>
      </c>
      <c r="J91" s="170"/>
      <c r="K91" s="169"/>
      <c r="L91" s="169"/>
      <c r="M91" s="168"/>
      <c r="N91" s="169"/>
      <c r="O91" s="67" t="s">
        <v>270</v>
      </c>
    </row>
    <row r="92" spans="1:15" s="75" customFormat="1" ht="111" customHeight="1">
      <c r="A92" s="360">
        <v>35</v>
      </c>
      <c r="B92" s="132" t="s">
        <v>343</v>
      </c>
      <c r="C92" s="281" t="s">
        <v>289</v>
      </c>
      <c r="D92" s="167">
        <f>62+345</f>
        <v>407</v>
      </c>
      <c r="E92" s="167">
        <f t="shared" ref="E92:E98" si="16">D92</f>
        <v>407</v>
      </c>
      <c r="F92" s="168">
        <f>44+18</f>
        <v>62</v>
      </c>
      <c r="G92" s="169">
        <f t="shared" ref="G92:G98" si="17">D92-F92</f>
        <v>345</v>
      </c>
      <c r="H92" s="170">
        <f t="shared" ref="H92:H98" si="18">SUM(K92:N92)</f>
        <v>345</v>
      </c>
      <c r="I92" s="170"/>
      <c r="J92" s="170"/>
      <c r="K92" s="169"/>
      <c r="L92" s="169"/>
      <c r="M92" s="168">
        <v>345</v>
      </c>
      <c r="N92" s="169"/>
      <c r="O92" s="67" t="s">
        <v>270</v>
      </c>
    </row>
    <row r="93" spans="1:15" s="75" customFormat="1" ht="120" customHeight="1">
      <c r="A93" s="360">
        <v>36</v>
      </c>
      <c r="B93" s="148" t="s">
        <v>344</v>
      </c>
      <c r="C93" s="281" t="s">
        <v>289</v>
      </c>
      <c r="D93" s="167">
        <f>62+1+180</f>
        <v>243</v>
      </c>
      <c r="E93" s="167">
        <f t="shared" si="16"/>
        <v>243</v>
      </c>
      <c r="F93" s="168">
        <f>44+18+1</f>
        <v>63</v>
      </c>
      <c r="G93" s="169">
        <f t="shared" si="17"/>
        <v>180</v>
      </c>
      <c r="H93" s="170">
        <f t="shared" si="18"/>
        <v>180</v>
      </c>
      <c r="I93" s="170"/>
      <c r="J93" s="170"/>
      <c r="K93" s="169"/>
      <c r="L93" s="169"/>
      <c r="M93" s="168">
        <v>180</v>
      </c>
      <c r="N93" s="169"/>
      <c r="O93" s="67" t="s">
        <v>270</v>
      </c>
    </row>
    <row r="94" spans="1:15" s="75" customFormat="1" ht="90">
      <c r="A94" s="360">
        <v>37</v>
      </c>
      <c r="B94" s="148" t="s">
        <v>345</v>
      </c>
      <c r="C94" s="281" t="s">
        <v>289</v>
      </c>
      <c r="D94" s="167">
        <f>107+268+272</f>
        <v>647</v>
      </c>
      <c r="E94" s="167">
        <f t="shared" si="16"/>
        <v>647</v>
      </c>
      <c r="F94" s="168">
        <f>107+268</f>
        <v>375</v>
      </c>
      <c r="G94" s="169">
        <f t="shared" si="17"/>
        <v>272</v>
      </c>
      <c r="H94" s="170">
        <f t="shared" si="18"/>
        <v>272</v>
      </c>
      <c r="I94" s="170"/>
      <c r="J94" s="170"/>
      <c r="K94" s="169"/>
      <c r="L94" s="169"/>
      <c r="M94" s="168">
        <v>272</v>
      </c>
      <c r="N94" s="169"/>
      <c r="O94" s="67" t="s">
        <v>270</v>
      </c>
    </row>
    <row r="95" spans="1:15" s="75" customFormat="1" ht="120" customHeight="1">
      <c r="A95" s="360">
        <v>38</v>
      </c>
      <c r="B95" s="132" t="s">
        <v>346</v>
      </c>
      <c r="C95" s="281" t="s">
        <v>289</v>
      </c>
      <c r="D95" s="167">
        <f>53+181</f>
        <v>234</v>
      </c>
      <c r="E95" s="344">
        <f t="shared" si="16"/>
        <v>234</v>
      </c>
      <c r="F95" s="168">
        <v>53</v>
      </c>
      <c r="G95" s="169">
        <f t="shared" si="17"/>
        <v>181</v>
      </c>
      <c r="H95" s="170">
        <f t="shared" si="18"/>
        <v>181</v>
      </c>
      <c r="I95" s="170"/>
      <c r="J95" s="170"/>
      <c r="K95" s="169"/>
      <c r="L95" s="169"/>
      <c r="M95" s="168">
        <v>181</v>
      </c>
      <c r="N95" s="169"/>
      <c r="O95" s="67" t="s">
        <v>270</v>
      </c>
    </row>
    <row r="96" spans="1:15" s="75" customFormat="1" ht="120" customHeight="1">
      <c r="A96" s="360">
        <v>39</v>
      </c>
      <c r="B96" s="148" t="s">
        <v>347</v>
      </c>
      <c r="C96" s="281" t="s">
        <v>289</v>
      </c>
      <c r="D96" s="167">
        <f>50+8</f>
        <v>58</v>
      </c>
      <c r="E96" s="167">
        <f t="shared" si="16"/>
        <v>58</v>
      </c>
      <c r="F96" s="168">
        <v>8</v>
      </c>
      <c r="G96" s="169">
        <f t="shared" si="17"/>
        <v>50</v>
      </c>
      <c r="H96" s="170">
        <f t="shared" si="18"/>
        <v>50</v>
      </c>
      <c r="I96" s="170"/>
      <c r="J96" s="170"/>
      <c r="K96" s="169"/>
      <c r="L96" s="169"/>
      <c r="M96" s="168">
        <v>50</v>
      </c>
      <c r="N96" s="169"/>
      <c r="O96" s="67" t="s">
        <v>270</v>
      </c>
    </row>
    <row r="97" spans="1:15" s="75" customFormat="1" ht="120" customHeight="1">
      <c r="A97" s="360">
        <v>40</v>
      </c>
      <c r="B97" s="148" t="s">
        <v>348</v>
      </c>
      <c r="C97" s="281" t="s">
        <v>289</v>
      </c>
      <c r="D97" s="167">
        <f>50+2</f>
        <v>52</v>
      </c>
      <c r="E97" s="167">
        <f t="shared" si="16"/>
        <v>52</v>
      </c>
      <c r="F97" s="168">
        <v>2</v>
      </c>
      <c r="G97" s="169">
        <f t="shared" si="17"/>
        <v>50</v>
      </c>
      <c r="H97" s="170">
        <f t="shared" si="18"/>
        <v>50</v>
      </c>
      <c r="I97" s="170"/>
      <c r="J97" s="170"/>
      <c r="K97" s="169"/>
      <c r="L97" s="169"/>
      <c r="M97" s="168">
        <v>50</v>
      </c>
      <c r="N97" s="169"/>
      <c r="O97" s="67" t="s">
        <v>270</v>
      </c>
    </row>
    <row r="98" spans="1:15" s="75" customFormat="1" ht="129" customHeight="1">
      <c r="A98" s="360">
        <v>41</v>
      </c>
      <c r="B98" s="148" t="s">
        <v>349</v>
      </c>
      <c r="C98" s="281" t="s">
        <v>289</v>
      </c>
      <c r="D98" s="167">
        <f>50+2</f>
        <v>52</v>
      </c>
      <c r="E98" s="167">
        <f t="shared" si="16"/>
        <v>52</v>
      </c>
      <c r="F98" s="168">
        <v>2</v>
      </c>
      <c r="G98" s="169">
        <f t="shared" si="17"/>
        <v>50</v>
      </c>
      <c r="H98" s="170">
        <f t="shared" si="18"/>
        <v>50</v>
      </c>
      <c r="I98" s="170"/>
      <c r="J98" s="170"/>
      <c r="K98" s="169"/>
      <c r="L98" s="169"/>
      <c r="M98" s="168">
        <v>50</v>
      </c>
      <c r="N98" s="169"/>
      <c r="O98" s="67" t="s">
        <v>270</v>
      </c>
    </row>
    <row r="99" spans="1:15" s="75" customFormat="1" ht="26.25" customHeight="1">
      <c r="A99" s="156"/>
      <c r="B99" s="4"/>
      <c r="C99" s="157" t="s">
        <v>304</v>
      </c>
      <c r="D99" s="158">
        <f t="shared" ref="D99:N99" si="19">SUM(D58:D98)</f>
        <v>18597</v>
      </c>
      <c r="E99" s="158">
        <f t="shared" si="19"/>
        <v>18597</v>
      </c>
      <c r="F99" s="158">
        <f t="shared" si="19"/>
        <v>7464</v>
      </c>
      <c r="G99" s="158">
        <f t="shared" si="19"/>
        <v>11133</v>
      </c>
      <c r="H99" s="158">
        <f t="shared" si="19"/>
        <v>11133</v>
      </c>
      <c r="I99" s="158">
        <f t="shared" si="19"/>
        <v>5493</v>
      </c>
      <c r="J99" s="158">
        <f t="shared" si="19"/>
        <v>0</v>
      </c>
      <c r="K99" s="158">
        <f t="shared" si="19"/>
        <v>22</v>
      </c>
      <c r="L99" s="158">
        <f t="shared" si="19"/>
        <v>0</v>
      </c>
      <c r="M99" s="158">
        <f t="shared" si="19"/>
        <v>5618</v>
      </c>
      <c r="N99" s="158">
        <f t="shared" si="19"/>
        <v>0</v>
      </c>
      <c r="O99" s="159"/>
    </row>
    <row r="100" spans="1:15" s="75" customFormat="1" ht="26.25" customHeight="1">
      <c r="A100" s="156"/>
      <c r="B100" s="4"/>
      <c r="C100" s="157"/>
      <c r="D100" s="5"/>
      <c r="E100" s="5"/>
      <c r="F100" s="5"/>
      <c r="G100" s="5"/>
      <c r="H100" s="5"/>
      <c r="I100" s="5"/>
      <c r="J100" s="5"/>
      <c r="K100" s="5"/>
      <c r="L100" s="5"/>
      <c r="M100" s="5"/>
      <c r="N100" s="5"/>
      <c r="O100" s="159"/>
    </row>
    <row r="101" spans="1:15" s="75" customFormat="1" ht="26.25" customHeight="1">
      <c r="A101" s="156"/>
      <c r="B101" s="4"/>
      <c r="C101" s="157"/>
      <c r="D101" s="5"/>
      <c r="E101" s="5"/>
      <c r="F101" s="5"/>
      <c r="G101" s="5"/>
      <c r="H101" s="5"/>
      <c r="I101" s="5"/>
      <c r="J101" s="5"/>
      <c r="K101" s="5"/>
      <c r="L101" s="5"/>
      <c r="M101" s="5"/>
      <c r="N101" s="5"/>
      <c r="O101" s="159"/>
    </row>
    <row r="102" spans="1:15" s="75" customFormat="1" ht="26.25" customHeight="1">
      <c r="A102" s="156"/>
      <c r="B102" s="4"/>
      <c r="C102" s="157"/>
      <c r="D102" s="5"/>
      <c r="E102" s="5"/>
      <c r="F102" s="5"/>
      <c r="G102" s="5"/>
      <c r="H102" s="5"/>
      <c r="I102" s="5"/>
      <c r="J102" s="5"/>
      <c r="K102" s="5"/>
      <c r="L102" s="5"/>
      <c r="M102" s="5"/>
      <c r="N102" s="5"/>
      <c r="O102" s="159"/>
    </row>
    <row r="103" spans="1:15" s="75" customFormat="1" ht="26.25" customHeight="1">
      <c r="A103" s="156"/>
      <c r="B103" s="4"/>
      <c r="C103" s="157"/>
      <c r="D103" s="5"/>
      <c r="E103" s="5"/>
      <c r="F103" s="5"/>
      <c r="G103" s="5"/>
      <c r="H103" s="5"/>
      <c r="I103" s="5"/>
      <c r="J103" s="5"/>
      <c r="K103" s="5"/>
      <c r="L103" s="5"/>
      <c r="M103" s="5"/>
      <c r="N103" s="5"/>
      <c r="O103" s="159"/>
    </row>
    <row r="104" spans="1:15" s="75" customFormat="1" ht="26.25" customHeight="1">
      <c r="A104" s="156"/>
      <c r="B104" s="4"/>
      <c r="C104" s="157"/>
      <c r="D104" s="5"/>
      <c r="E104" s="5"/>
      <c r="F104" s="5"/>
      <c r="G104" s="5"/>
      <c r="H104" s="5"/>
      <c r="I104" s="5"/>
      <c r="J104" s="5"/>
      <c r="K104" s="5"/>
      <c r="L104" s="5"/>
      <c r="M104" s="5"/>
      <c r="N104" s="5"/>
      <c r="O104" s="159"/>
    </row>
    <row r="105" spans="1:15" s="75" customFormat="1" ht="26.25" customHeight="1">
      <c r="A105" s="156"/>
      <c r="B105" s="4"/>
      <c r="C105" s="157"/>
      <c r="D105" s="5"/>
      <c r="E105" s="5"/>
      <c r="F105" s="5"/>
      <c r="G105" s="5"/>
      <c r="H105" s="5"/>
      <c r="I105" s="5"/>
      <c r="J105" s="5"/>
      <c r="K105" s="5"/>
      <c r="L105" s="5"/>
      <c r="M105" s="5"/>
      <c r="N105" s="5"/>
      <c r="O105" s="159"/>
    </row>
    <row r="106" spans="1:15" s="75" customFormat="1" ht="26.25" customHeight="1">
      <c r="A106" s="156"/>
      <c r="B106" s="4"/>
      <c r="C106" s="157"/>
      <c r="D106" s="5"/>
      <c r="E106" s="5"/>
      <c r="F106" s="5"/>
      <c r="G106" s="5"/>
      <c r="H106" s="5"/>
      <c r="I106" s="5"/>
      <c r="J106" s="5"/>
      <c r="K106" s="5"/>
      <c r="L106" s="5"/>
      <c r="M106" s="5"/>
      <c r="N106" s="5"/>
      <c r="O106" s="159"/>
    </row>
    <row r="107" spans="1:15" s="75" customFormat="1" ht="29.25" customHeight="1" thickBot="1">
      <c r="A107" s="388" t="s">
        <v>350</v>
      </c>
      <c r="B107" s="388"/>
      <c r="C107" s="157"/>
      <c r="D107" s="5"/>
      <c r="E107" s="5"/>
      <c r="F107" s="5"/>
      <c r="G107" s="5"/>
      <c r="H107" s="5"/>
      <c r="I107" s="5"/>
      <c r="J107" s="5"/>
      <c r="K107" s="5"/>
      <c r="L107" s="5"/>
      <c r="M107" s="5"/>
      <c r="N107" s="73" t="s">
        <v>41</v>
      </c>
      <c r="O107" s="159"/>
    </row>
    <row r="108" spans="1:15" s="75" customFormat="1" ht="48.75" thickBot="1">
      <c r="A108" s="185" t="s">
        <v>259</v>
      </c>
      <c r="B108" s="186" t="s">
        <v>260</v>
      </c>
      <c r="C108" s="187" t="s">
        <v>261</v>
      </c>
      <c r="D108" s="186" t="s">
        <v>262</v>
      </c>
      <c r="E108" s="188" t="s">
        <v>263</v>
      </c>
      <c r="F108" s="189" t="s">
        <v>264</v>
      </c>
      <c r="G108" s="189" t="s">
        <v>265</v>
      </c>
      <c r="H108" s="189" t="s">
        <v>266</v>
      </c>
      <c r="I108" s="86" t="s">
        <v>24</v>
      </c>
      <c r="J108" s="87" t="s">
        <v>25</v>
      </c>
      <c r="K108" s="190" t="s">
        <v>26</v>
      </c>
      <c r="L108" s="189" t="s">
        <v>27</v>
      </c>
      <c r="M108" s="189" t="s">
        <v>28</v>
      </c>
      <c r="N108" s="191" t="s">
        <v>267</v>
      </c>
      <c r="O108" s="67"/>
    </row>
    <row r="109" spans="1:15" s="75" customFormat="1" ht="99.75" customHeight="1">
      <c r="A109" s="360">
        <v>1</v>
      </c>
      <c r="B109" s="352" t="s">
        <v>351</v>
      </c>
      <c r="C109" s="281" t="s">
        <v>269</v>
      </c>
      <c r="D109" s="167">
        <v>3596</v>
      </c>
      <c r="E109" s="167">
        <f>D109</f>
        <v>3596</v>
      </c>
      <c r="F109" s="168">
        <f>26+334</f>
        <v>360</v>
      </c>
      <c r="G109" s="169">
        <f>D109-F109</f>
        <v>3236</v>
      </c>
      <c r="H109" s="170">
        <f>SUM(I109:N109)</f>
        <v>3236</v>
      </c>
      <c r="I109" s="168">
        <v>3236</v>
      </c>
      <c r="J109" s="170"/>
      <c r="K109" s="169"/>
      <c r="L109" s="169"/>
      <c r="M109" s="168"/>
      <c r="N109" s="169"/>
      <c r="O109" s="67" t="s">
        <v>270</v>
      </c>
    </row>
    <row r="110" spans="1:15" s="75" customFormat="1" ht="108.75" customHeight="1">
      <c r="A110" s="360">
        <v>2</v>
      </c>
      <c r="B110" s="352" t="s">
        <v>352</v>
      </c>
      <c r="C110" s="281" t="s">
        <v>269</v>
      </c>
      <c r="D110" s="167">
        <f>5827+135</f>
        <v>5962</v>
      </c>
      <c r="E110" s="167">
        <f>D110</f>
        <v>5962</v>
      </c>
      <c r="F110" s="168">
        <v>135</v>
      </c>
      <c r="G110" s="169">
        <f>D110-F110</f>
        <v>5827</v>
      </c>
      <c r="H110" s="170">
        <f>SUM(I110:N110)</f>
        <v>5827</v>
      </c>
      <c r="I110" s="168">
        <v>5827</v>
      </c>
      <c r="J110" s="170"/>
      <c r="K110" s="169"/>
      <c r="L110" s="169"/>
      <c r="M110" s="168"/>
      <c r="N110" s="169"/>
      <c r="O110" s="67" t="s">
        <v>270</v>
      </c>
    </row>
    <row r="111" spans="1:15" s="75" customFormat="1" ht="69.75" customHeight="1">
      <c r="A111" s="360">
        <v>3</v>
      </c>
      <c r="B111" s="352" t="s">
        <v>353</v>
      </c>
      <c r="C111" s="281" t="s">
        <v>354</v>
      </c>
      <c r="D111" s="167">
        <v>16</v>
      </c>
      <c r="E111" s="167">
        <f>D111</f>
        <v>16</v>
      </c>
      <c r="F111" s="168">
        <v>0</v>
      </c>
      <c r="G111" s="169">
        <f>D111-F111</f>
        <v>16</v>
      </c>
      <c r="H111" s="95">
        <f>SUM(I111:N111)</f>
        <v>16</v>
      </c>
      <c r="I111" s="168"/>
      <c r="J111" s="170"/>
      <c r="K111" s="169"/>
      <c r="L111" s="169">
        <v>0</v>
      </c>
      <c r="M111" s="168">
        <v>16</v>
      </c>
      <c r="N111" s="169"/>
      <c r="O111" s="117" t="s">
        <v>270</v>
      </c>
    </row>
    <row r="112" spans="1:15" s="74" customFormat="1" ht="30.75" customHeight="1">
      <c r="A112" s="156"/>
      <c r="B112" s="4"/>
      <c r="C112" s="157" t="s">
        <v>304</v>
      </c>
      <c r="D112" s="170">
        <f t="shared" ref="D112:N112" si="20">SUM(D109:D111)</f>
        <v>9574</v>
      </c>
      <c r="E112" s="170">
        <f t="shared" si="20"/>
        <v>9574</v>
      </c>
      <c r="F112" s="170">
        <f t="shared" si="20"/>
        <v>495</v>
      </c>
      <c r="G112" s="170">
        <f t="shared" si="20"/>
        <v>9079</v>
      </c>
      <c r="H112" s="170">
        <f t="shared" si="20"/>
        <v>9079</v>
      </c>
      <c r="I112" s="170">
        <f t="shared" si="20"/>
        <v>9063</v>
      </c>
      <c r="J112" s="170">
        <f t="shared" si="20"/>
        <v>0</v>
      </c>
      <c r="K112" s="170">
        <f t="shared" si="20"/>
        <v>0</v>
      </c>
      <c r="L112" s="170">
        <f t="shared" si="20"/>
        <v>0</v>
      </c>
      <c r="M112" s="170">
        <f t="shared" si="20"/>
        <v>16</v>
      </c>
      <c r="N112" s="170">
        <f t="shared" si="20"/>
        <v>0</v>
      </c>
      <c r="O112" s="159"/>
    </row>
    <row r="113" spans="1:15" s="74" customFormat="1" ht="47.25" customHeight="1">
      <c r="A113" s="156"/>
      <c r="B113" s="4"/>
      <c r="C113" s="157"/>
      <c r="D113" s="5"/>
      <c r="E113" s="5"/>
      <c r="F113" s="5"/>
      <c r="G113" s="5"/>
      <c r="H113" s="5"/>
      <c r="I113" s="5"/>
      <c r="J113" s="5"/>
      <c r="K113" s="5"/>
      <c r="L113" s="5"/>
      <c r="M113" s="5"/>
      <c r="N113" s="5"/>
      <c r="O113" s="159"/>
    </row>
    <row r="114" spans="1:15" s="74" customFormat="1" ht="30.75" customHeight="1">
      <c r="A114" s="156"/>
      <c r="B114" s="4"/>
      <c r="C114" s="157"/>
      <c r="D114" s="5"/>
      <c r="E114" s="5"/>
      <c r="F114" s="5"/>
      <c r="G114" s="5"/>
      <c r="H114" s="5"/>
      <c r="I114" s="5"/>
      <c r="J114" s="5"/>
      <c r="K114" s="5"/>
      <c r="L114" s="5"/>
      <c r="M114" s="5"/>
      <c r="N114" s="5"/>
      <c r="O114" s="159"/>
    </row>
    <row r="115" spans="1:15" s="75" customFormat="1" ht="36" customHeight="1" thickBot="1">
      <c r="A115" s="70" t="s">
        <v>355</v>
      </c>
      <c r="B115" s="4"/>
      <c r="C115" s="157"/>
      <c r="D115" s="5"/>
      <c r="E115" s="5"/>
      <c r="F115" s="5"/>
      <c r="G115" s="5"/>
      <c r="H115" s="5"/>
      <c r="I115" s="5"/>
      <c r="J115" s="5"/>
      <c r="K115" s="5"/>
      <c r="L115" s="5"/>
      <c r="M115" s="5"/>
      <c r="N115" s="73" t="s">
        <v>41</v>
      </c>
      <c r="O115" s="159"/>
    </row>
    <row r="116" spans="1:15" s="74" customFormat="1" ht="50.25" customHeight="1" thickBot="1">
      <c r="A116" s="185" t="s">
        <v>259</v>
      </c>
      <c r="B116" s="186" t="s">
        <v>260</v>
      </c>
      <c r="C116" s="187" t="s">
        <v>261</v>
      </c>
      <c r="D116" s="186" t="s">
        <v>262</v>
      </c>
      <c r="E116" s="188" t="s">
        <v>263</v>
      </c>
      <c r="F116" s="189" t="s">
        <v>264</v>
      </c>
      <c r="G116" s="189" t="s">
        <v>265</v>
      </c>
      <c r="H116" s="189" t="s">
        <v>266</v>
      </c>
      <c r="I116" s="86" t="s">
        <v>24</v>
      </c>
      <c r="J116" s="87" t="s">
        <v>25</v>
      </c>
      <c r="K116" s="190" t="s">
        <v>26</v>
      </c>
      <c r="L116" s="189" t="s">
        <v>27</v>
      </c>
      <c r="M116" s="189" t="s">
        <v>28</v>
      </c>
      <c r="N116" s="191" t="s">
        <v>267</v>
      </c>
      <c r="O116" s="67"/>
    </row>
    <row r="117" spans="1:15" s="74" customFormat="1" ht="72" customHeight="1">
      <c r="A117" s="342">
        <v>1</v>
      </c>
      <c r="B117" s="343" t="s">
        <v>356</v>
      </c>
      <c r="C117" s="195" t="s">
        <v>269</v>
      </c>
      <c r="D117" s="167">
        <v>11</v>
      </c>
      <c r="E117" s="344">
        <f t="shared" ref="E117:E132" si="21">D117</f>
        <v>11</v>
      </c>
      <c r="F117" s="168">
        <v>0</v>
      </c>
      <c r="G117" s="169">
        <f t="shared" ref="G117:G134" si="22">D117-F117</f>
        <v>11</v>
      </c>
      <c r="H117" s="170">
        <f>SUM(K117:N117)</f>
        <v>11</v>
      </c>
      <c r="I117" s="170"/>
      <c r="J117" s="170"/>
      <c r="K117" s="169">
        <v>11</v>
      </c>
      <c r="L117" s="169"/>
      <c r="M117" s="168"/>
      <c r="N117" s="169"/>
      <c r="O117" s="67" t="s">
        <v>270</v>
      </c>
    </row>
    <row r="118" spans="1:15" s="74" customFormat="1" ht="130.5" customHeight="1">
      <c r="A118" s="342">
        <v>2</v>
      </c>
      <c r="B118" s="343" t="s">
        <v>357</v>
      </c>
      <c r="C118" s="359" t="s">
        <v>269</v>
      </c>
      <c r="D118" s="167">
        <f>333+491+60</f>
        <v>884</v>
      </c>
      <c r="E118" s="344">
        <f t="shared" si="21"/>
        <v>884</v>
      </c>
      <c r="F118" s="168">
        <v>333</v>
      </c>
      <c r="G118" s="169">
        <f t="shared" si="22"/>
        <v>551</v>
      </c>
      <c r="H118" s="170">
        <f>SUM(K118:N118)</f>
        <v>551</v>
      </c>
      <c r="I118" s="170"/>
      <c r="J118" s="170"/>
      <c r="K118" s="169"/>
      <c r="L118" s="169"/>
      <c r="M118" s="168">
        <f>491+60</f>
        <v>551</v>
      </c>
      <c r="N118" s="169"/>
      <c r="O118" s="67" t="s">
        <v>270</v>
      </c>
    </row>
    <row r="119" spans="1:15" s="74" customFormat="1" ht="81.75" customHeight="1">
      <c r="A119" s="342">
        <v>3</v>
      </c>
      <c r="B119" s="343" t="s">
        <v>358</v>
      </c>
      <c r="C119" s="359" t="s">
        <v>269</v>
      </c>
      <c r="D119" s="167">
        <v>1</v>
      </c>
      <c r="E119" s="344">
        <f t="shared" si="21"/>
        <v>1</v>
      </c>
      <c r="F119" s="168">
        <v>0</v>
      </c>
      <c r="G119" s="169">
        <f t="shared" si="22"/>
        <v>1</v>
      </c>
      <c r="H119" s="170">
        <f>SUM(K119:N119)</f>
        <v>1</v>
      </c>
      <c r="I119" s="170"/>
      <c r="J119" s="170"/>
      <c r="K119" s="169"/>
      <c r="L119" s="169"/>
      <c r="M119" s="168">
        <v>1</v>
      </c>
      <c r="N119" s="169"/>
      <c r="O119" s="67" t="s">
        <v>270</v>
      </c>
    </row>
    <row r="120" spans="1:15" s="74" customFormat="1" ht="54" customHeight="1">
      <c r="A120" s="342">
        <v>4</v>
      </c>
      <c r="B120" s="343" t="s">
        <v>359</v>
      </c>
      <c r="C120" s="359" t="s">
        <v>269</v>
      </c>
      <c r="D120" s="167">
        <v>1</v>
      </c>
      <c r="E120" s="344">
        <f t="shared" si="21"/>
        <v>1</v>
      </c>
      <c r="F120" s="168">
        <v>0</v>
      </c>
      <c r="G120" s="169">
        <f t="shared" si="22"/>
        <v>1</v>
      </c>
      <c r="H120" s="170">
        <f>SUM(K120:N120)</f>
        <v>1</v>
      </c>
      <c r="I120" s="170"/>
      <c r="J120" s="170"/>
      <c r="K120" s="169"/>
      <c r="L120" s="169"/>
      <c r="M120" s="168">
        <v>1</v>
      </c>
      <c r="N120" s="169"/>
      <c r="O120" s="67" t="s">
        <v>270</v>
      </c>
    </row>
    <row r="121" spans="1:15" s="74" customFormat="1" ht="59.25" customHeight="1">
      <c r="A121" s="342">
        <v>5</v>
      </c>
      <c r="B121" s="132" t="s">
        <v>360</v>
      </c>
      <c r="C121" s="359" t="s">
        <v>269</v>
      </c>
      <c r="D121" s="167">
        <v>200</v>
      </c>
      <c r="E121" s="344">
        <f t="shared" si="21"/>
        <v>200</v>
      </c>
      <c r="F121" s="168">
        <v>0</v>
      </c>
      <c r="G121" s="169">
        <f t="shared" si="22"/>
        <v>200</v>
      </c>
      <c r="H121" s="170">
        <f>SUM(I121:N121)</f>
        <v>200</v>
      </c>
      <c r="I121" s="168"/>
      <c r="J121" s="170"/>
      <c r="K121" s="169"/>
      <c r="L121" s="169"/>
      <c r="M121" s="168">
        <v>200</v>
      </c>
      <c r="N121" s="169"/>
      <c r="O121" s="67" t="s">
        <v>270</v>
      </c>
    </row>
    <row r="122" spans="1:15" s="74" customFormat="1" ht="59.25" customHeight="1">
      <c r="A122" s="342">
        <v>6</v>
      </c>
      <c r="B122" s="132" t="s">
        <v>361</v>
      </c>
      <c r="C122" s="359" t="s">
        <v>362</v>
      </c>
      <c r="D122" s="167">
        <v>130</v>
      </c>
      <c r="E122" s="344">
        <f>D122</f>
        <v>130</v>
      </c>
      <c r="F122" s="168">
        <v>0</v>
      </c>
      <c r="G122" s="169">
        <f>D122-F122</f>
        <v>130</v>
      </c>
      <c r="H122" s="170">
        <f>SUM(I122:N122)</f>
        <v>130</v>
      </c>
      <c r="I122" s="168"/>
      <c r="J122" s="170"/>
      <c r="K122" s="169"/>
      <c r="L122" s="169">
        <v>130</v>
      </c>
      <c r="M122" s="168"/>
      <c r="N122" s="169"/>
      <c r="O122" s="67" t="s">
        <v>270</v>
      </c>
    </row>
    <row r="123" spans="1:15" s="74" customFormat="1" ht="59.25" customHeight="1">
      <c r="A123" s="342">
        <v>7</v>
      </c>
      <c r="B123" s="132" t="s">
        <v>363</v>
      </c>
      <c r="C123" s="359" t="s">
        <v>362</v>
      </c>
      <c r="D123" s="167">
        <v>200</v>
      </c>
      <c r="E123" s="344">
        <f>D123</f>
        <v>200</v>
      </c>
      <c r="F123" s="168">
        <v>0</v>
      </c>
      <c r="G123" s="169">
        <f>D123-F123</f>
        <v>200</v>
      </c>
      <c r="H123" s="170">
        <f>SUM(I123:N123)</f>
        <v>200</v>
      </c>
      <c r="I123" s="168"/>
      <c r="J123" s="170"/>
      <c r="K123" s="169"/>
      <c r="L123" s="169">
        <v>200</v>
      </c>
      <c r="M123" s="168"/>
      <c r="N123" s="169"/>
      <c r="O123" s="67" t="s">
        <v>270</v>
      </c>
    </row>
    <row r="124" spans="1:15" s="74" customFormat="1" ht="59.25" customHeight="1">
      <c r="A124" s="342">
        <v>8</v>
      </c>
      <c r="B124" s="343" t="s">
        <v>364</v>
      </c>
      <c r="C124" s="353" t="s">
        <v>289</v>
      </c>
      <c r="D124" s="167">
        <v>100</v>
      </c>
      <c r="E124" s="344">
        <f t="shared" si="21"/>
        <v>100</v>
      </c>
      <c r="F124" s="168">
        <v>0</v>
      </c>
      <c r="G124" s="169">
        <f t="shared" si="22"/>
        <v>100</v>
      </c>
      <c r="H124" s="170">
        <f t="shared" ref="H124:H134" si="23">SUM(K124:N124)</f>
        <v>100</v>
      </c>
      <c r="I124" s="170"/>
      <c r="J124" s="170"/>
      <c r="K124" s="169"/>
      <c r="L124" s="169"/>
      <c r="M124" s="168">
        <v>100</v>
      </c>
      <c r="N124" s="169"/>
      <c r="O124" s="67" t="s">
        <v>270</v>
      </c>
    </row>
    <row r="125" spans="1:15" s="74" customFormat="1" ht="59.25" customHeight="1">
      <c r="A125" s="342">
        <v>9</v>
      </c>
      <c r="B125" s="348" t="s">
        <v>365</v>
      </c>
      <c r="C125" s="281" t="s">
        <v>289</v>
      </c>
      <c r="D125" s="349">
        <v>800</v>
      </c>
      <c r="E125" s="350">
        <f>D125</f>
        <v>800</v>
      </c>
      <c r="F125" s="351">
        <v>0</v>
      </c>
      <c r="G125" s="169">
        <f>D125-F125</f>
        <v>800</v>
      </c>
      <c r="H125" s="170">
        <f>SUM(K125:N125)</f>
        <v>800</v>
      </c>
      <c r="I125" s="158"/>
      <c r="J125" s="158"/>
      <c r="K125" s="351"/>
      <c r="L125" s="351"/>
      <c r="M125" s="346">
        <v>800</v>
      </c>
      <c r="N125" s="169"/>
      <c r="O125" s="67" t="s">
        <v>270</v>
      </c>
    </row>
    <row r="126" spans="1:15" s="74" customFormat="1" ht="120">
      <c r="A126" s="342">
        <v>10</v>
      </c>
      <c r="B126" s="343" t="s">
        <v>366</v>
      </c>
      <c r="C126" s="281" t="s">
        <v>289</v>
      </c>
      <c r="D126" s="167">
        <f>169+58+200</f>
        <v>427</v>
      </c>
      <c r="E126" s="344">
        <f t="shared" si="21"/>
        <v>427</v>
      </c>
      <c r="F126" s="168">
        <f>169+58</f>
        <v>227</v>
      </c>
      <c r="G126" s="169">
        <f t="shared" si="22"/>
        <v>200</v>
      </c>
      <c r="H126" s="170">
        <f t="shared" si="23"/>
        <v>200</v>
      </c>
      <c r="I126" s="170"/>
      <c r="J126" s="170"/>
      <c r="K126" s="169"/>
      <c r="L126" s="169"/>
      <c r="M126" s="168">
        <f>500-300</f>
        <v>200</v>
      </c>
      <c r="N126" s="169"/>
      <c r="O126" s="67" t="s">
        <v>270</v>
      </c>
    </row>
    <row r="127" spans="1:15" s="74" customFormat="1" ht="96" customHeight="1">
      <c r="A127" s="342">
        <v>11</v>
      </c>
      <c r="B127" s="343" t="s">
        <v>367</v>
      </c>
      <c r="C127" s="359" t="s">
        <v>300</v>
      </c>
      <c r="D127" s="167">
        <f>1+105+240</f>
        <v>346</v>
      </c>
      <c r="E127" s="344">
        <f t="shared" si="21"/>
        <v>346</v>
      </c>
      <c r="F127" s="168">
        <f>1+105</f>
        <v>106</v>
      </c>
      <c r="G127" s="169">
        <f t="shared" si="22"/>
        <v>240</v>
      </c>
      <c r="H127" s="170">
        <f t="shared" si="23"/>
        <v>240</v>
      </c>
      <c r="I127" s="170"/>
      <c r="J127" s="170"/>
      <c r="K127" s="169"/>
      <c r="L127" s="169"/>
      <c r="M127" s="168">
        <v>240</v>
      </c>
      <c r="N127" s="169"/>
      <c r="O127" s="67" t="s">
        <v>270</v>
      </c>
    </row>
    <row r="128" spans="1:15" s="74" customFormat="1" ht="113.25" customHeight="1">
      <c r="A128" s="342">
        <v>12</v>
      </c>
      <c r="B128" s="343" t="s">
        <v>368</v>
      </c>
      <c r="C128" s="195" t="s">
        <v>300</v>
      </c>
      <c r="D128" s="167">
        <f>19+30+21</f>
        <v>70</v>
      </c>
      <c r="E128" s="344">
        <f t="shared" si="21"/>
        <v>70</v>
      </c>
      <c r="F128" s="168">
        <f>19+30</f>
        <v>49</v>
      </c>
      <c r="G128" s="169">
        <f t="shared" si="22"/>
        <v>21</v>
      </c>
      <c r="H128" s="170">
        <f t="shared" si="23"/>
        <v>21</v>
      </c>
      <c r="I128" s="170"/>
      <c r="J128" s="170"/>
      <c r="K128" s="169"/>
      <c r="L128" s="169"/>
      <c r="M128" s="168">
        <v>21</v>
      </c>
      <c r="N128" s="169"/>
      <c r="O128" s="67" t="s">
        <v>270</v>
      </c>
    </row>
    <row r="129" spans="1:15" s="74" customFormat="1" ht="75">
      <c r="A129" s="342">
        <v>13</v>
      </c>
      <c r="B129" s="343" t="s">
        <v>369</v>
      </c>
      <c r="C129" s="195" t="s">
        <v>300</v>
      </c>
      <c r="D129" s="167">
        <f>11+8+40</f>
        <v>59</v>
      </c>
      <c r="E129" s="344">
        <f t="shared" si="21"/>
        <v>59</v>
      </c>
      <c r="F129" s="168">
        <f>11+8</f>
        <v>19</v>
      </c>
      <c r="G129" s="169">
        <f t="shared" si="22"/>
        <v>40</v>
      </c>
      <c r="H129" s="170">
        <f t="shared" si="23"/>
        <v>40</v>
      </c>
      <c r="I129" s="170"/>
      <c r="J129" s="170"/>
      <c r="K129" s="169"/>
      <c r="L129" s="169"/>
      <c r="M129" s="168">
        <v>40</v>
      </c>
      <c r="N129" s="169"/>
      <c r="O129" s="67" t="s">
        <v>270</v>
      </c>
    </row>
    <row r="130" spans="1:15" s="74" customFormat="1" ht="90">
      <c r="A130" s="342">
        <v>14</v>
      </c>
      <c r="B130" s="343" t="s">
        <v>370</v>
      </c>
      <c r="C130" s="195" t="s">
        <v>300</v>
      </c>
      <c r="D130" s="167">
        <v>62</v>
      </c>
      <c r="E130" s="344">
        <f t="shared" si="21"/>
        <v>62</v>
      </c>
      <c r="F130" s="168">
        <v>0</v>
      </c>
      <c r="G130" s="169">
        <f t="shared" si="22"/>
        <v>62</v>
      </c>
      <c r="H130" s="170">
        <f t="shared" si="23"/>
        <v>62</v>
      </c>
      <c r="I130" s="170"/>
      <c r="J130" s="170"/>
      <c r="K130" s="169"/>
      <c r="L130" s="169"/>
      <c r="M130" s="168">
        <v>62</v>
      </c>
      <c r="N130" s="169"/>
      <c r="O130" s="67" t="s">
        <v>270</v>
      </c>
    </row>
    <row r="131" spans="1:15" s="74" customFormat="1" ht="114" customHeight="1">
      <c r="A131" s="342">
        <v>15</v>
      </c>
      <c r="B131" s="343" t="s">
        <v>371</v>
      </c>
      <c r="C131" s="195" t="s">
        <v>300</v>
      </c>
      <c r="D131" s="167">
        <f>2+75</f>
        <v>77</v>
      </c>
      <c r="E131" s="344">
        <f t="shared" si="21"/>
        <v>77</v>
      </c>
      <c r="F131" s="168">
        <v>2</v>
      </c>
      <c r="G131" s="169">
        <f t="shared" si="22"/>
        <v>75</v>
      </c>
      <c r="H131" s="170">
        <f t="shared" si="23"/>
        <v>75</v>
      </c>
      <c r="I131" s="170"/>
      <c r="J131" s="170"/>
      <c r="K131" s="169"/>
      <c r="L131" s="169"/>
      <c r="M131" s="168">
        <v>75</v>
      </c>
      <c r="N131" s="169"/>
      <c r="O131" s="67" t="s">
        <v>270</v>
      </c>
    </row>
    <row r="132" spans="1:15" s="74" customFormat="1" ht="101.25" customHeight="1">
      <c r="A132" s="342">
        <v>16</v>
      </c>
      <c r="B132" s="343" t="s">
        <v>372</v>
      </c>
      <c r="C132" s="195" t="s">
        <v>300</v>
      </c>
      <c r="D132" s="167">
        <f>166+322</f>
        <v>488</v>
      </c>
      <c r="E132" s="344">
        <f t="shared" si="21"/>
        <v>488</v>
      </c>
      <c r="F132" s="168">
        <v>166</v>
      </c>
      <c r="G132" s="169">
        <f t="shared" si="22"/>
        <v>322</v>
      </c>
      <c r="H132" s="170">
        <f t="shared" si="23"/>
        <v>322</v>
      </c>
      <c r="I132" s="170"/>
      <c r="J132" s="170"/>
      <c r="K132" s="169"/>
      <c r="L132" s="169"/>
      <c r="M132" s="168">
        <f>322</f>
        <v>322</v>
      </c>
      <c r="N132" s="169"/>
      <c r="O132" s="67" t="s">
        <v>270</v>
      </c>
    </row>
    <row r="133" spans="1:15" s="74" customFormat="1" ht="90">
      <c r="A133" s="342">
        <v>17</v>
      </c>
      <c r="B133" s="343" t="s">
        <v>373</v>
      </c>
      <c r="C133" s="195" t="s">
        <v>300</v>
      </c>
      <c r="D133" s="167">
        <f>26+32</f>
        <v>58</v>
      </c>
      <c r="E133" s="344">
        <f t="shared" ref="E133:E140" si="24">D133</f>
        <v>58</v>
      </c>
      <c r="F133" s="168">
        <v>26</v>
      </c>
      <c r="G133" s="169">
        <f t="shared" si="22"/>
        <v>32</v>
      </c>
      <c r="H133" s="170">
        <f t="shared" si="23"/>
        <v>32</v>
      </c>
      <c r="I133" s="170"/>
      <c r="J133" s="170"/>
      <c r="K133" s="169"/>
      <c r="L133" s="169"/>
      <c r="M133" s="168">
        <v>32</v>
      </c>
      <c r="N133" s="169"/>
      <c r="O133" s="67" t="s">
        <v>270</v>
      </c>
    </row>
    <row r="134" spans="1:15" s="74" customFormat="1" ht="114" customHeight="1">
      <c r="A134" s="342">
        <v>18</v>
      </c>
      <c r="B134" s="343" t="s">
        <v>374</v>
      </c>
      <c r="C134" s="195" t="s">
        <v>300</v>
      </c>
      <c r="D134" s="167">
        <v>203</v>
      </c>
      <c r="E134" s="344">
        <f t="shared" si="24"/>
        <v>203</v>
      </c>
      <c r="F134" s="168">
        <v>0</v>
      </c>
      <c r="G134" s="169">
        <f t="shared" si="22"/>
        <v>203</v>
      </c>
      <c r="H134" s="170">
        <f t="shared" si="23"/>
        <v>203</v>
      </c>
      <c r="I134" s="170"/>
      <c r="J134" s="170"/>
      <c r="K134" s="169"/>
      <c r="L134" s="169"/>
      <c r="M134" s="168">
        <v>203</v>
      </c>
      <c r="N134" s="169"/>
      <c r="O134" s="67" t="s">
        <v>270</v>
      </c>
    </row>
    <row r="135" spans="1:15" s="74" customFormat="1" ht="90">
      <c r="A135" s="342">
        <v>19</v>
      </c>
      <c r="B135" s="343" t="s">
        <v>375</v>
      </c>
      <c r="C135" s="195" t="s">
        <v>300</v>
      </c>
      <c r="D135" s="282">
        <v>119</v>
      </c>
      <c r="E135" s="282">
        <f t="shared" si="24"/>
        <v>119</v>
      </c>
      <c r="F135" s="282">
        <v>0</v>
      </c>
      <c r="G135" s="132">
        <f t="shared" ref="G135:G140" si="25">E135-F135</f>
        <v>119</v>
      </c>
      <c r="H135" s="95">
        <f t="shared" ref="H135:H140" si="26">SUM(I135:N135)</f>
        <v>119</v>
      </c>
      <c r="I135" s="282"/>
      <c r="J135" s="282"/>
      <c r="K135" s="282"/>
      <c r="L135" s="282"/>
      <c r="M135" s="282">
        <v>119</v>
      </c>
      <c r="N135" s="282"/>
      <c r="O135" s="67" t="s">
        <v>270</v>
      </c>
    </row>
    <row r="136" spans="1:15" s="74" customFormat="1" ht="90">
      <c r="A136" s="342">
        <v>20</v>
      </c>
      <c r="B136" s="343" t="s">
        <v>376</v>
      </c>
      <c r="C136" s="195" t="s">
        <v>300</v>
      </c>
      <c r="D136" s="282">
        <v>59</v>
      </c>
      <c r="E136" s="282">
        <f t="shared" si="24"/>
        <v>59</v>
      </c>
      <c r="F136" s="282">
        <v>0</v>
      </c>
      <c r="G136" s="132">
        <f t="shared" si="25"/>
        <v>59</v>
      </c>
      <c r="H136" s="95">
        <f t="shared" si="26"/>
        <v>59</v>
      </c>
      <c r="I136" s="282"/>
      <c r="J136" s="282"/>
      <c r="K136" s="282"/>
      <c r="L136" s="282"/>
      <c r="M136" s="282">
        <v>59</v>
      </c>
      <c r="N136" s="282"/>
      <c r="O136" s="67" t="s">
        <v>270</v>
      </c>
    </row>
    <row r="137" spans="1:15" s="74" customFormat="1" ht="120">
      <c r="A137" s="342">
        <v>21</v>
      </c>
      <c r="B137" s="343" t="s">
        <v>377</v>
      </c>
      <c r="C137" s="195" t="s">
        <v>300</v>
      </c>
      <c r="D137" s="282">
        <v>175</v>
      </c>
      <c r="E137" s="282">
        <f t="shared" si="24"/>
        <v>175</v>
      </c>
      <c r="F137" s="282">
        <v>0</v>
      </c>
      <c r="G137" s="132">
        <f t="shared" si="25"/>
        <v>175</v>
      </c>
      <c r="H137" s="95">
        <f t="shared" si="26"/>
        <v>175</v>
      </c>
      <c r="I137" s="282"/>
      <c r="J137" s="282"/>
      <c r="K137" s="282"/>
      <c r="L137" s="282"/>
      <c r="M137" s="282">
        <v>175</v>
      </c>
      <c r="N137" s="282"/>
      <c r="O137" s="67" t="s">
        <v>270</v>
      </c>
    </row>
    <row r="138" spans="1:15" s="74" customFormat="1" ht="52.5">
      <c r="A138" s="342">
        <v>22</v>
      </c>
      <c r="B138" s="343" t="s">
        <v>378</v>
      </c>
      <c r="C138" s="195" t="s">
        <v>300</v>
      </c>
      <c r="D138" s="282">
        <f>64+205</f>
        <v>269</v>
      </c>
      <c r="E138" s="282">
        <f t="shared" si="24"/>
        <v>269</v>
      </c>
      <c r="F138" s="282">
        <v>64</v>
      </c>
      <c r="G138" s="132">
        <f t="shared" si="25"/>
        <v>205</v>
      </c>
      <c r="H138" s="95">
        <f t="shared" si="26"/>
        <v>205</v>
      </c>
      <c r="I138" s="282"/>
      <c r="J138" s="282"/>
      <c r="K138" s="282"/>
      <c r="L138" s="282"/>
      <c r="M138" s="282">
        <v>205</v>
      </c>
      <c r="N138" s="282"/>
      <c r="O138" s="67" t="s">
        <v>270</v>
      </c>
    </row>
    <row r="139" spans="1:15" s="74" customFormat="1" ht="72" customHeight="1">
      <c r="A139" s="342">
        <v>23</v>
      </c>
      <c r="B139" s="343" t="s">
        <v>379</v>
      </c>
      <c r="C139" s="195" t="s">
        <v>300</v>
      </c>
      <c r="D139" s="282">
        <v>100</v>
      </c>
      <c r="E139" s="282">
        <f t="shared" si="24"/>
        <v>100</v>
      </c>
      <c r="F139" s="282">
        <v>0</v>
      </c>
      <c r="G139" s="132">
        <f t="shared" si="25"/>
        <v>100</v>
      </c>
      <c r="H139" s="95">
        <f t="shared" si="26"/>
        <v>100</v>
      </c>
      <c r="I139" s="282"/>
      <c r="J139" s="282"/>
      <c r="K139" s="282"/>
      <c r="L139" s="282"/>
      <c r="M139" s="282">
        <v>100</v>
      </c>
      <c r="N139" s="282"/>
      <c r="O139" s="67" t="s">
        <v>270</v>
      </c>
    </row>
    <row r="140" spans="1:15" s="74" customFormat="1" ht="90">
      <c r="A140" s="342">
        <v>24</v>
      </c>
      <c r="B140" s="343" t="s">
        <v>380</v>
      </c>
      <c r="C140" s="195" t="s">
        <v>300</v>
      </c>
      <c r="D140" s="282">
        <v>100</v>
      </c>
      <c r="E140" s="282">
        <f t="shared" si="24"/>
        <v>100</v>
      </c>
      <c r="F140" s="282">
        <v>0</v>
      </c>
      <c r="G140" s="132">
        <f t="shared" si="25"/>
        <v>100</v>
      </c>
      <c r="H140" s="95">
        <f t="shared" si="26"/>
        <v>100</v>
      </c>
      <c r="I140" s="282"/>
      <c r="J140" s="282"/>
      <c r="K140" s="282"/>
      <c r="L140" s="282"/>
      <c r="M140" s="282">
        <v>100</v>
      </c>
      <c r="N140" s="282"/>
      <c r="O140" s="67" t="s">
        <v>270</v>
      </c>
    </row>
    <row r="141" spans="1:15" s="75" customFormat="1" ht="25.5" customHeight="1">
      <c r="A141" s="156"/>
      <c r="B141" s="4"/>
      <c r="C141" s="157" t="s">
        <v>304</v>
      </c>
      <c r="D141" s="170">
        <f t="shared" ref="D141:N141" si="27">SUM(D117:D140)</f>
        <v>4939</v>
      </c>
      <c r="E141" s="170">
        <f t="shared" si="27"/>
        <v>4939</v>
      </c>
      <c r="F141" s="170">
        <f t="shared" si="27"/>
        <v>992</v>
      </c>
      <c r="G141" s="170">
        <f t="shared" si="27"/>
        <v>3947</v>
      </c>
      <c r="H141" s="170">
        <f t="shared" si="27"/>
        <v>3947</v>
      </c>
      <c r="I141" s="170">
        <f t="shared" si="27"/>
        <v>0</v>
      </c>
      <c r="J141" s="170">
        <f t="shared" si="27"/>
        <v>0</v>
      </c>
      <c r="K141" s="170">
        <f t="shared" si="27"/>
        <v>11</v>
      </c>
      <c r="L141" s="170">
        <f t="shared" si="27"/>
        <v>330</v>
      </c>
      <c r="M141" s="170">
        <f t="shared" si="27"/>
        <v>3606</v>
      </c>
      <c r="N141" s="170">
        <f t="shared" si="27"/>
        <v>0</v>
      </c>
      <c r="O141" s="159"/>
    </row>
    <row r="142" spans="1:15" s="75" customFormat="1" ht="25.5" customHeight="1">
      <c r="A142" s="156"/>
      <c r="B142" s="4"/>
      <c r="C142" s="157"/>
      <c r="D142" s="5"/>
      <c r="E142" s="5"/>
      <c r="F142" s="5"/>
      <c r="G142" s="5"/>
      <c r="H142" s="5"/>
      <c r="I142" s="5"/>
      <c r="J142" s="5"/>
      <c r="K142" s="5"/>
      <c r="L142" s="5"/>
      <c r="M142" s="5"/>
      <c r="N142" s="5"/>
      <c r="O142" s="159"/>
    </row>
    <row r="143" spans="1:15" s="75" customFormat="1" ht="25.5" customHeight="1">
      <c r="A143" s="156"/>
      <c r="B143" s="4"/>
      <c r="C143" s="157"/>
      <c r="D143" s="5"/>
      <c r="E143" s="5"/>
      <c r="F143" s="5"/>
      <c r="G143" s="5"/>
      <c r="H143" s="5"/>
      <c r="I143" s="5"/>
      <c r="J143" s="5"/>
      <c r="K143" s="5"/>
      <c r="L143" s="5"/>
      <c r="M143" s="5"/>
      <c r="N143" s="5"/>
      <c r="O143" s="159"/>
    </row>
    <row r="144" spans="1:15" s="75" customFormat="1" ht="32.25" customHeight="1">
      <c r="A144" s="156"/>
      <c r="B144" s="4"/>
      <c r="C144" s="157"/>
      <c r="D144" s="5"/>
      <c r="E144" s="5"/>
      <c r="F144" s="5"/>
      <c r="G144" s="5"/>
      <c r="H144" s="5"/>
      <c r="I144" s="5"/>
      <c r="J144" s="5"/>
      <c r="K144" s="5"/>
      <c r="L144" s="5"/>
      <c r="M144" s="5"/>
      <c r="N144" s="5"/>
      <c r="O144" s="159"/>
    </row>
    <row r="145" spans="1:15" s="75" customFormat="1" ht="16.5" customHeight="1">
      <c r="A145" s="156"/>
      <c r="B145" s="4"/>
      <c r="C145" s="157"/>
      <c r="D145" s="5"/>
      <c r="E145" s="5"/>
      <c r="F145" s="5"/>
      <c r="G145" s="5"/>
      <c r="H145" s="5"/>
      <c r="I145" s="5"/>
      <c r="J145" s="5"/>
      <c r="K145" s="5"/>
      <c r="L145" s="5"/>
      <c r="M145" s="5"/>
      <c r="N145" s="5"/>
      <c r="O145" s="159"/>
    </row>
    <row r="146" spans="1:15" s="75" customFormat="1" ht="27" hidden="1" customHeight="1">
      <c r="A146" s="156"/>
      <c r="B146" s="4"/>
      <c r="C146" s="157"/>
      <c r="D146" s="5"/>
      <c r="E146" s="5"/>
      <c r="F146" s="5"/>
      <c r="G146" s="5"/>
      <c r="H146" s="5"/>
      <c r="I146" s="5"/>
      <c r="J146" s="5"/>
      <c r="K146" s="5"/>
      <c r="L146" s="5"/>
      <c r="M146" s="5"/>
      <c r="N146" s="5"/>
      <c r="O146" s="159"/>
    </row>
    <row r="147" spans="1:15" ht="36" hidden="1" customHeight="1" thickBot="1">
      <c r="A147" s="76" t="s">
        <v>381</v>
      </c>
      <c r="B147" s="9"/>
      <c r="C147" s="9"/>
      <c r="D147" s="9"/>
      <c r="E147" s="9"/>
      <c r="F147" s="9"/>
      <c r="G147" s="9"/>
      <c r="H147" s="6"/>
      <c r="I147" s="6"/>
      <c r="J147" s="6"/>
      <c r="K147" s="6"/>
      <c r="L147" s="6"/>
      <c r="M147" s="6"/>
      <c r="N147" s="73" t="s">
        <v>41</v>
      </c>
      <c r="O147" s="54"/>
    </row>
    <row r="148" spans="1:15" s="74" customFormat="1" ht="68.25" hidden="1" customHeight="1" thickBot="1">
      <c r="A148" s="185" t="s">
        <v>259</v>
      </c>
      <c r="B148" s="186" t="s">
        <v>260</v>
      </c>
      <c r="C148" s="187" t="s">
        <v>261</v>
      </c>
      <c r="D148" s="186" t="s">
        <v>262</v>
      </c>
      <c r="E148" s="188" t="s">
        <v>263</v>
      </c>
      <c r="F148" s="189" t="s">
        <v>306</v>
      </c>
      <c r="G148" s="189" t="s">
        <v>265</v>
      </c>
      <c r="H148" s="189" t="s">
        <v>307</v>
      </c>
      <c r="I148" s="86" t="s">
        <v>24</v>
      </c>
      <c r="J148" s="87" t="s">
        <v>25</v>
      </c>
      <c r="K148" s="190" t="s">
        <v>26</v>
      </c>
      <c r="L148" s="189" t="s">
        <v>27</v>
      </c>
      <c r="M148" s="189" t="s">
        <v>28</v>
      </c>
      <c r="N148" s="191" t="s">
        <v>267</v>
      </c>
      <c r="O148" s="67"/>
    </row>
    <row r="149" spans="1:15" s="74" customFormat="1" ht="18" hidden="1" customHeight="1">
      <c r="A149" s="88">
        <v>1</v>
      </c>
      <c r="B149" s="132"/>
      <c r="C149" s="198"/>
      <c r="D149" s="163"/>
      <c r="E149" s="163"/>
      <c r="F149" s="163"/>
      <c r="G149" s="164"/>
      <c r="H149" s="165"/>
      <c r="I149" s="196"/>
      <c r="J149" s="196"/>
      <c r="K149" s="196"/>
      <c r="L149" s="196"/>
      <c r="M149" s="196"/>
      <c r="N149" s="163"/>
      <c r="O149" s="117" t="s">
        <v>270</v>
      </c>
    </row>
    <row r="150" spans="1:15" s="75" customFormat="1" ht="18" hidden="1" customHeight="1">
      <c r="A150" s="156"/>
      <c r="B150" s="4"/>
      <c r="C150" s="157" t="s">
        <v>304</v>
      </c>
      <c r="D150" s="158">
        <f t="shared" ref="D150:N150" si="28">SUM(D149:D149)</f>
        <v>0</v>
      </c>
      <c r="E150" s="158">
        <f t="shared" si="28"/>
        <v>0</v>
      </c>
      <c r="F150" s="158">
        <f t="shared" si="28"/>
        <v>0</v>
      </c>
      <c r="G150" s="158">
        <f t="shared" si="28"/>
        <v>0</v>
      </c>
      <c r="H150" s="158">
        <f t="shared" si="28"/>
        <v>0</v>
      </c>
      <c r="I150" s="158">
        <f t="shared" si="28"/>
        <v>0</v>
      </c>
      <c r="J150" s="158">
        <f t="shared" si="28"/>
        <v>0</v>
      </c>
      <c r="K150" s="158">
        <f t="shared" si="28"/>
        <v>0</v>
      </c>
      <c r="L150" s="158">
        <f t="shared" si="28"/>
        <v>0</v>
      </c>
      <c r="M150" s="158">
        <f t="shared" si="28"/>
        <v>0</v>
      </c>
      <c r="N150" s="158">
        <f t="shared" si="28"/>
        <v>0</v>
      </c>
      <c r="O150" s="159"/>
    </row>
    <row r="151" spans="1:15" s="77" customFormat="1" ht="27.75" customHeight="1" thickBot="1">
      <c r="A151" s="277" t="s">
        <v>382</v>
      </c>
      <c r="B151" s="70"/>
      <c r="C151" s="174"/>
      <c r="D151" s="66"/>
      <c r="E151" s="66"/>
      <c r="F151" s="4"/>
      <c r="G151" s="175"/>
      <c r="H151" s="66"/>
      <c r="I151" s="66"/>
      <c r="J151" s="66"/>
      <c r="K151" s="4"/>
      <c r="L151" s="176"/>
      <c r="M151" s="4"/>
      <c r="N151" s="73" t="s">
        <v>41</v>
      </c>
      <c r="O151" s="67"/>
    </row>
    <row r="152" spans="1:15" s="74" customFormat="1" ht="48.75" thickBot="1">
      <c r="A152" s="185" t="s">
        <v>259</v>
      </c>
      <c r="B152" s="186" t="s">
        <v>260</v>
      </c>
      <c r="C152" s="187" t="s">
        <v>261</v>
      </c>
      <c r="D152" s="186" t="s">
        <v>262</v>
      </c>
      <c r="E152" s="188" t="s">
        <v>263</v>
      </c>
      <c r="F152" s="189" t="s">
        <v>264</v>
      </c>
      <c r="G152" s="189" t="s">
        <v>265</v>
      </c>
      <c r="H152" s="189" t="s">
        <v>266</v>
      </c>
      <c r="I152" s="86" t="s">
        <v>24</v>
      </c>
      <c r="J152" s="87" t="s">
        <v>25</v>
      </c>
      <c r="K152" s="190" t="s">
        <v>26</v>
      </c>
      <c r="L152" s="189" t="s">
        <v>27</v>
      </c>
      <c r="M152" s="189" t="s">
        <v>28</v>
      </c>
      <c r="N152" s="191" t="s">
        <v>267</v>
      </c>
      <c r="O152" s="67"/>
    </row>
    <row r="153" spans="1:15" s="74" customFormat="1" ht="42">
      <c r="A153" s="342">
        <v>1</v>
      </c>
      <c r="B153" s="345" t="s">
        <v>383</v>
      </c>
      <c r="C153" s="281" t="s">
        <v>289</v>
      </c>
      <c r="D153" s="168">
        <v>1</v>
      </c>
      <c r="E153" s="346">
        <f t="shared" ref="E153:E159" si="29">D153</f>
        <v>1</v>
      </c>
      <c r="F153" s="346">
        <v>0</v>
      </c>
      <c r="G153" s="168">
        <f t="shared" ref="G153:G158" si="30">D153-F153</f>
        <v>1</v>
      </c>
      <c r="H153" s="170">
        <f t="shared" ref="H153:H159" si="31">SUM(K153:N153)</f>
        <v>1</v>
      </c>
      <c r="I153" s="158"/>
      <c r="J153" s="158"/>
      <c r="K153" s="346"/>
      <c r="L153" s="346"/>
      <c r="M153" s="346">
        <v>1</v>
      </c>
      <c r="N153" s="168"/>
      <c r="O153" s="67" t="s">
        <v>270</v>
      </c>
    </row>
    <row r="154" spans="1:15" s="74" customFormat="1" ht="42">
      <c r="A154" s="342">
        <v>2</v>
      </c>
      <c r="B154" s="345" t="s">
        <v>384</v>
      </c>
      <c r="C154" s="281" t="s">
        <v>289</v>
      </c>
      <c r="D154" s="168">
        <v>2975</v>
      </c>
      <c r="E154" s="346">
        <f t="shared" si="29"/>
        <v>2975</v>
      </c>
      <c r="F154" s="346">
        <v>0</v>
      </c>
      <c r="G154" s="168">
        <f>D154-F154</f>
        <v>2975</v>
      </c>
      <c r="H154" s="170">
        <f t="shared" si="31"/>
        <v>2975</v>
      </c>
      <c r="I154" s="158"/>
      <c r="J154" s="158"/>
      <c r="K154" s="346"/>
      <c r="L154" s="346"/>
      <c r="M154" s="346">
        <v>2975</v>
      </c>
      <c r="N154" s="168"/>
      <c r="O154" s="67" t="s">
        <v>270</v>
      </c>
    </row>
    <row r="155" spans="1:15" s="131" customFormat="1" ht="42">
      <c r="A155" s="342">
        <v>3</v>
      </c>
      <c r="B155" s="343" t="s">
        <v>385</v>
      </c>
      <c r="C155" s="281" t="s">
        <v>289</v>
      </c>
      <c r="D155" s="349">
        <f>70+212</f>
        <v>282</v>
      </c>
      <c r="E155" s="350">
        <f t="shared" si="29"/>
        <v>282</v>
      </c>
      <c r="F155" s="169">
        <v>70</v>
      </c>
      <c r="G155" s="169">
        <f t="shared" si="30"/>
        <v>212</v>
      </c>
      <c r="H155" s="170">
        <f t="shared" si="31"/>
        <v>212</v>
      </c>
      <c r="I155" s="170"/>
      <c r="J155" s="170"/>
      <c r="K155" s="169"/>
      <c r="L155" s="169"/>
      <c r="M155" s="168">
        <v>212</v>
      </c>
      <c r="N155" s="169"/>
      <c r="O155" s="67" t="s">
        <v>270</v>
      </c>
    </row>
    <row r="156" spans="1:15" s="131" customFormat="1" ht="49.5" customHeight="1">
      <c r="A156" s="342">
        <v>4</v>
      </c>
      <c r="B156" s="375" t="s">
        <v>386</v>
      </c>
      <c r="C156" s="281" t="s">
        <v>289</v>
      </c>
      <c r="D156" s="349">
        <f>18+56</f>
        <v>74</v>
      </c>
      <c r="E156" s="350">
        <f t="shared" si="29"/>
        <v>74</v>
      </c>
      <c r="F156" s="351">
        <v>18</v>
      </c>
      <c r="G156" s="169">
        <f t="shared" si="30"/>
        <v>56</v>
      </c>
      <c r="H156" s="170">
        <f t="shared" si="31"/>
        <v>56</v>
      </c>
      <c r="I156" s="158"/>
      <c r="J156" s="158"/>
      <c r="K156" s="351"/>
      <c r="L156" s="351"/>
      <c r="M156" s="346">
        <v>56</v>
      </c>
      <c r="N156" s="351"/>
      <c r="O156" s="67" t="s">
        <v>270</v>
      </c>
    </row>
    <row r="157" spans="1:15" s="131" customFormat="1" ht="42">
      <c r="A157" s="342">
        <v>5</v>
      </c>
      <c r="B157" s="375" t="s">
        <v>387</v>
      </c>
      <c r="C157" s="281" t="s">
        <v>289</v>
      </c>
      <c r="D157" s="349">
        <v>1</v>
      </c>
      <c r="E157" s="350">
        <f t="shared" si="29"/>
        <v>1</v>
      </c>
      <c r="F157" s="351">
        <v>0</v>
      </c>
      <c r="G157" s="169">
        <f>D157-F157</f>
        <v>1</v>
      </c>
      <c r="H157" s="170">
        <f t="shared" si="31"/>
        <v>1</v>
      </c>
      <c r="I157" s="158"/>
      <c r="J157" s="158"/>
      <c r="K157" s="351"/>
      <c r="L157" s="351"/>
      <c r="M157" s="346">
        <v>1</v>
      </c>
      <c r="N157" s="351"/>
      <c r="O157" s="67" t="s">
        <v>270</v>
      </c>
    </row>
    <row r="158" spans="1:15" s="131" customFormat="1" ht="42">
      <c r="A158" s="342">
        <v>6</v>
      </c>
      <c r="B158" s="348" t="s">
        <v>388</v>
      </c>
      <c r="C158" s="281" t="s">
        <v>289</v>
      </c>
      <c r="D158" s="349">
        <f>46+71</f>
        <v>117</v>
      </c>
      <c r="E158" s="350">
        <f t="shared" si="29"/>
        <v>117</v>
      </c>
      <c r="F158" s="168">
        <f>23+23</f>
        <v>46</v>
      </c>
      <c r="G158" s="169">
        <f t="shared" si="30"/>
        <v>71</v>
      </c>
      <c r="H158" s="170">
        <f t="shared" si="31"/>
        <v>71</v>
      </c>
      <c r="I158" s="170"/>
      <c r="J158" s="170"/>
      <c r="K158" s="362"/>
      <c r="L158" s="168"/>
      <c r="M158" s="168">
        <v>71</v>
      </c>
      <c r="N158" s="362"/>
      <c r="O158" s="67" t="s">
        <v>270</v>
      </c>
    </row>
    <row r="159" spans="1:15" s="131" customFormat="1" ht="51" customHeight="1">
      <c r="A159" s="342">
        <v>7</v>
      </c>
      <c r="B159" s="345" t="s">
        <v>389</v>
      </c>
      <c r="C159" s="281" t="s">
        <v>289</v>
      </c>
      <c r="D159" s="349">
        <f>284+143</f>
        <v>427</v>
      </c>
      <c r="E159" s="350">
        <f t="shared" si="29"/>
        <v>427</v>
      </c>
      <c r="F159" s="351">
        <f>142+142</f>
        <v>284</v>
      </c>
      <c r="G159" s="169">
        <f t="shared" ref="G159:G175" si="32">D159-F159</f>
        <v>143</v>
      </c>
      <c r="H159" s="170">
        <f t="shared" si="31"/>
        <v>143</v>
      </c>
      <c r="I159" s="158"/>
      <c r="J159" s="158"/>
      <c r="K159" s="351"/>
      <c r="L159" s="351"/>
      <c r="M159" s="346">
        <v>143</v>
      </c>
      <c r="N159" s="169"/>
      <c r="O159" s="67" t="s">
        <v>270</v>
      </c>
    </row>
    <row r="160" spans="1:15" s="131" customFormat="1" ht="51" customHeight="1">
      <c r="A160" s="342">
        <v>8</v>
      </c>
      <c r="B160" s="345" t="s">
        <v>390</v>
      </c>
      <c r="C160" s="281" t="s">
        <v>289</v>
      </c>
      <c r="D160" s="349">
        <f>45+413</f>
        <v>458</v>
      </c>
      <c r="E160" s="350">
        <f t="shared" ref="E160:E165" si="33">D160</f>
        <v>458</v>
      </c>
      <c r="F160" s="351">
        <v>45</v>
      </c>
      <c r="G160" s="169">
        <f t="shared" si="32"/>
        <v>413</v>
      </c>
      <c r="H160" s="170">
        <f t="shared" ref="H160:H165" si="34">SUM(K160:N160)</f>
        <v>413</v>
      </c>
      <c r="I160" s="158"/>
      <c r="J160" s="158"/>
      <c r="K160" s="351"/>
      <c r="L160" s="351"/>
      <c r="M160" s="346">
        <v>413</v>
      </c>
      <c r="N160" s="169"/>
      <c r="O160" s="67" t="s">
        <v>270</v>
      </c>
    </row>
    <row r="161" spans="1:15" s="131" customFormat="1" ht="51" customHeight="1">
      <c r="A161" s="342">
        <v>9</v>
      </c>
      <c r="B161" s="345" t="s">
        <v>391</v>
      </c>
      <c r="C161" s="281" t="s">
        <v>289</v>
      </c>
      <c r="D161" s="349">
        <f>25+234</f>
        <v>259</v>
      </c>
      <c r="E161" s="350">
        <f t="shared" si="33"/>
        <v>259</v>
      </c>
      <c r="F161" s="351">
        <v>25</v>
      </c>
      <c r="G161" s="169">
        <f t="shared" si="32"/>
        <v>234</v>
      </c>
      <c r="H161" s="170">
        <f t="shared" si="34"/>
        <v>234</v>
      </c>
      <c r="I161" s="158"/>
      <c r="J161" s="158"/>
      <c r="K161" s="351"/>
      <c r="L161" s="351"/>
      <c r="M161" s="346">
        <v>234</v>
      </c>
      <c r="N161" s="169"/>
      <c r="O161" s="67" t="s">
        <v>270</v>
      </c>
    </row>
    <row r="162" spans="1:15" s="131" customFormat="1" ht="51" customHeight="1">
      <c r="A162" s="342">
        <v>10</v>
      </c>
      <c r="B162" s="345" t="s">
        <v>392</v>
      </c>
      <c r="C162" s="281" t="s">
        <v>289</v>
      </c>
      <c r="D162" s="349">
        <f>48+438</f>
        <v>486</v>
      </c>
      <c r="E162" s="350">
        <f t="shared" si="33"/>
        <v>486</v>
      </c>
      <c r="F162" s="351">
        <v>48</v>
      </c>
      <c r="G162" s="169">
        <f t="shared" si="32"/>
        <v>438</v>
      </c>
      <c r="H162" s="170">
        <f t="shared" si="34"/>
        <v>438</v>
      </c>
      <c r="I162" s="158"/>
      <c r="J162" s="158"/>
      <c r="K162" s="351"/>
      <c r="L162" s="351"/>
      <c r="M162" s="346">
        <v>438</v>
      </c>
      <c r="N162" s="169"/>
      <c r="O162" s="67" t="s">
        <v>270</v>
      </c>
    </row>
    <row r="163" spans="1:15" s="131" customFormat="1" ht="51.75" customHeight="1">
      <c r="A163" s="342">
        <v>11</v>
      </c>
      <c r="B163" s="345" t="s">
        <v>393</v>
      </c>
      <c r="C163" s="281" t="s">
        <v>289</v>
      </c>
      <c r="D163" s="349">
        <f>65+594</f>
        <v>659</v>
      </c>
      <c r="E163" s="350">
        <f t="shared" si="33"/>
        <v>659</v>
      </c>
      <c r="F163" s="351">
        <v>65</v>
      </c>
      <c r="G163" s="169">
        <f t="shared" si="32"/>
        <v>594</v>
      </c>
      <c r="H163" s="170">
        <f t="shared" si="34"/>
        <v>594</v>
      </c>
      <c r="I163" s="158"/>
      <c r="J163" s="158"/>
      <c r="K163" s="351"/>
      <c r="L163" s="351"/>
      <c r="M163" s="346">
        <v>594</v>
      </c>
      <c r="N163" s="169"/>
      <c r="O163" s="67" t="s">
        <v>270</v>
      </c>
    </row>
    <row r="164" spans="1:15" s="131" customFormat="1" ht="52.5" customHeight="1">
      <c r="A164" s="342">
        <v>12</v>
      </c>
      <c r="B164" s="345" t="s">
        <v>394</v>
      </c>
      <c r="C164" s="281" t="s">
        <v>289</v>
      </c>
      <c r="D164" s="349">
        <f>101+917</f>
        <v>1018</v>
      </c>
      <c r="E164" s="350">
        <f t="shared" si="33"/>
        <v>1018</v>
      </c>
      <c r="F164" s="351">
        <v>101</v>
      </c>
      <c r="G164" s="169">
        <f t="shared" si="32"/>
        <v>917</v>
      </c>
      <c r="H164" s="170">
        <f t="shared" si="34"/>
        <v>917</v>
      </c>
      <c r="I164" s="158"/>
      <c r="J164" s="158"/>
      <c r="K164" s="351"/>
      <c r="L164" s="351"/>
      <c r="M164" s="346">
        <v>917</v>
      </c>
      <c r="N164" s="169"/>
      <c r="O164" s="67" t="s">
        <v>270</v>
      </c>
    </row>
    <row r="165" spans="1:15" s="131" customFormat="1" ht="51.75" customHeight="1">
      <c r="A165" s="342">
        <v>13</v>
      </c>
      <c r="B165" s="345" t="s">
        <v>395</v>
      </c>
      <c r="C165" s="281" t="s">
        <v>289</v>
      </c>
      <c r="D165" s="349">
        <f>101+821</f>
        <v>922</v>
      </c>
      <c r="E165" s="350">
        <f t="shared" si="33"/>
        <v>922</v>
      </c>
      <c r="F165" s="351">
        <v>101</v>
      </c>
      <c r="G165" s="169">
        <f t="shared" si="32"/>
        <v>821</v>
      </c>
      <c r="H165" s="170">
        <f t="shared" si="34"/>
        <v>821</v>
      </c>
      <c r="I165" s="158"/>
      <c r="J165" s="158"/>
      <c r="K165" s="351"/>
      <c r="L165" s="351"/>
      <c r="M165" s="346">
        <v>821</v>
      </c>
      <c r="N165" s="169"/>
      <c r="O165" s="67" t="s">
        <v>270</v>
      </c>
    </row>
    <row r="166" spans="1:15" s="131" customFormat="1" ht="54.75" customHeight="1">
      <c r="A166" s="342">
        <v>14</v>
      </c>
      <c r="B166" s="345" t="s">
        <v>396</v>
      </c>
      <c r="C166" s="281" t="s">
        <v>289</v>
      </c>
      <c r="D166" s="349">
        <v>10</v>
      </c>
      <c r="E166" s="350">
        <f>D166</f>
        <v>10</v>
      </c>
      <c r="F166" s="351">
        <v>0</v>
      </c>
      <c r="G166" s="169">
        <f t="shared" si="32"/>
        <v>10</v>
      </c>
      <c r="H166" s="170">
        <f>SUM(K166:N166)</f>
        <v>10</v>
      </c>
      <c r="I166" s="158"/>
      <c r="J166" s="158"/>
      <c r="K166" s="351"/>
      <c r="L166" s="351"/>
      <c r="M166" s="346">
        <v>10</v>
      </c>
      <c r="N166" s="169"/>
      <c r="O166" s="67" t="s">
        <v>270</v>
      </c>
    </row>
    <row r="167" spans="1:15" s="131" customFormat="1" ht="42">
      <c r="A167" s="342">
        <v>15</v>
      </c>
      <c r="B167" s="345" t="s">
        <v>397</v>
      </c>
      <c r="C167" s="281" t="s">
        <v>289</v>
      </c>
      <c r="D167" s="349">
        <f>94+855</f>
        <v>949</v>
      </c>
      <c r="E167" s="350">
        <f>D167</f>
        <v>949</v>
      </c>
      <c r="F167" s="351">
        <v>94</v>
      </c>
      <c r="G167" s="169">
        <f t="shared" si="32"/>
        <v>855</v>
      </c>
      <c r="H167" s="170">
        <f>SUM(K167:N167)</f>
        <v>855</v>
      </c>
      <c r="I167" s="158"/>
      <c r="J167" s="158"/>
      <c r="K167" s="351"/>
      <c r="L167" s="351"/>
      <c r="M167" s="346">
        <v>855</v>
      </c>
      <c r="N167" s="169"/>
      <c r="O167" s="67" t="s">
        <v>270</v>
      </c>
    </row>
    <row r="168" spans="1:15" s="131" customFormat="1" ht="54.75" customHeight="1">
      <c r="A168" s="342">
        <v>16</v>
      </c>
      <c r="B168" s="345" t="s">
        <v>398</v>
      </c>
      <c r="C168" s="281" t="s">
        <v>289</v>
      </c>
      <c r="D168" s="349">
        <f>75+676</f>
        <v>751</v>
      </c>
      <c r="E168" s="350">
        <f>D168</f>
        <v>751</v>
      </c>
      <c r="F168" s="351">
        <v>75</v>
      </c>
      <c r="G168" s="169">
        <f t="shared" si="32"/>
        <v>676</v>
      </c>
      <c r="H168" s="170">
        <f>SUM(K168:N168)</f>
        <v>676</v>
      </c>
      <c r="I168" s="158"/>
      <c r="J168" s="158"/>
      <c r="K168" s="351"/>
      <c r="L168" s="351"/>
      <c r="M168" s="346">
        <v>676</v>
      </c>
      <c r="N168" s="169"/>
      <c r="O168" s="67" t="s">
        <v>270</v>
      </c>
    </row>
    <row r="169" spans="1:15" s="131" customFormat="1" ht="54.75" customHeight="1">
      <c r="A169" s="342">
        <v>17</v>
      </c>
      <c r="B169" s="345" t="s">
        <v>399</v>
      </c>
      <c r="C169" s="281" t="s">
        <v>289</v>
      </c>
      <c r="D169" s="349">
        <f>89+803</f>
        <v>892</v>
      </c>
      <c r="E169" s="350">
        <f>D169</f>
        <v>892</v>
      </c>
      <c r="F169" s="351">
        <v>89</v>
      </c>
      <c r="G169" s="169">
        <f t="shared" si="32"/>
        <v>803</v>
      </c>
      <c r="H169" s="170">
        <f>SUM(K169:N169)</f>
        <v>803</v>
      </c>
      <c r="I169" s="158"/>
      <c r="J169" s="158"/>
      <c r="K169" s="351"/>
      <c r="L169" s="351"/>
      <c r="M169" s="346">
        <v>803</v>
      </c>
      <c r="N169" s="169"/>
      <c r="O169" s="67" t="s">
        <v>270</v>
      </c>
    </row>
    <row r="170" spans="1:15" s="131" customFormat="1" ht="54.75" customHeight="1">
      <c r="A170" s="342">
        <v>18</v>
      </c>
      <c r="B170" s="345" t="s">
        <v>400</v>
      </c>
      <c r="C170" s="281" t="s">
        <v>289</v>
      </c>
      <c r="D170" s="349">
        <f>12+76+39</f>
        <v>127</v>
      </c>
      <c r="E170" s="350">
        <f t="shared" ref="E170:E175" si="35">D170</f>
        <v>127</v>
      </c>
      <c r="F170" s="351">
        <f>12+76</f>
        <v>88</v>
      </c>
      <c r="G170" s="169">
        <f t="shared" si="32"/>
        <v>39</v>
      </c>
      <c r="H170" s="170">
        <f t="shared" ref="H170:H175" si="36">SUM(K170:N170)</f>
        <v>39</v>
      </c>
      <c r="I170" s="158"/>
      <c r="J170" s="158"/>
      <c r="K170" s="351"/>
      <c r="L170" s="351"/>
      <c r="M170" s="346">
        <v>39</v>
      </c>
      <c r="N170" s="169"/>
      <c r="O170" s="67" t="s">
        <v>270</v>
      </c>
    </row>
    <row r="171" spans="1:15" s="131" customFormat="1" ht="58.5" customHeight="1">
      <c r="A171" s="342">
        <v>19</v>
      </c>
      <c r="B171" s="345" t="s">
        <v>401</v>
      </c>
      <c r="C171" s="281" t="s">
        <v>289</v>
      </c>
      <c r="D171" s="349">
        <v>70</v>
      </c>
      <c r="E171" s="350">
        <f t="shared" si="35"/>
        <v>70</v>
      </c>
      <c r="F171" s="351">
        <v>0</v>
      </c>
      <c r="G171" s="169">
        <f t="shared" si="32"/>
        <v>70</v>
      </c>
      <c r="H171" s="170">
        <f t="shared" si="36"/>
        <v>70</v>
      </c>
      <c r="I171" s="158"/>
      <c r="J171" s="158"/>
      <c r="K171" s="351"/>
      <c r="L171" s="351"/>
      <c r="M171" s="346">
        <f>153-83</f>
        <v>70</v>
      </c>
      <c r="N171" s="169"/>
      <c r="O171" s="67" t="s">
        <v>270</v>
      </c>
    </row>
    <row r="172" spans="1:15" s="131" customFormat="1" ht="52.5" customHeight="1">
      <c r="A172" s="342">
        <v>20</v>
      </c>
      <c r="B172" s="348" t="s">
        <v>402</v>
      </c>
      <c r="C172" s="281" t="s">
        <v>289</v>
      </c>
      <c r="D172" s="349">
        <f>49+50</f>
        <v>99</v>
      </c>
      <c r="E172" s="350">
        <f t="shared" si="35"/>
        <v>99</v>
      </c>
      <c r="F172" s="351">
        <v>49</v>
      </c>
      <c r="G172" s="169">
        <f t="shared" si="32"/>
        <v>50</v>
      </c>
      <c r="H172" s="170">
        <f t="shared" si="36"/>
        <v>50</v>
      </c>
      <c r="I172" s="158"/>
      <c r="J172" s="158"/>
      <c r="K172" s="351"/>
      <c r="L172" s="351"/>
      <c r="M172" s="346">
        <v>50</v>
      </c>
      <c r="N172" s="169"/>
      <c r="O172" s="67" t="s">
        <v>270</v>
      </c>
    </row>
    <row r="173" spans="1:15" s="131" customFormat="1" ht="51" customHeight="1">
      <c r="A173" s="342">
        <v>21</v>
      </c>
      <c r="B173" s="348" t="s">
        <v>403</v>
      </c>
      <c r="C173" s="281" t="s">
        <v>289</v>
      </c>
      <c r="D173" s="349">
        <v>297</v>
      </c>
      <c r="E173" s="350">
        <f t="shared" si="35"/>
        <v>297</v>
      </c>
      <c r="F173" s="351">
        <v>0</v>
      </c>
      <c r="G173" s="169">
        <f t="shared" si="32"/>
        <v>297</v>
      </c>
      <c r="H173" s="170">
        <f t="shared" si="36"/>
        <v>297</v>
      </c>
      <c r="I173" s="158"/>
      <c r="J173" s="158"/>
      <c r="K173" s="351"/>
      <c r="L173" s="351"/>
      <c r="M173" s="346">
        <v>297</v>
      </c>
      <c r="N173" s="169"/>
      <c r="O173" s="67" t="s">
        <v>270</v>
      </c>
    </row>
    <row r="174" spans="1:15" s="131" customFormat="1" ht="42">
      <c r="A174" s="342">
        <v>22</v>
      </c>
      <c r="B174" s="348" t="s">
        <v>404</v>
      </c>
      <c r="C174" s="281" t="s">
        <v>289</v>
      </c>
      <c r="D174" s="349">
        <f>40+41</f>
        <v>81</v>
      </c>
      <c r="E174" s="350">
        <f t="shared" si="35"/>
        <v>81</v>
      </c>
      <c r="F174" s="351">
        <v>40</v>
      </c>
      <c r="G174" s="169">
        <f t="shared" si="32"/>
        <v>41</v>
      </c>
      <c r="H174" s="170">
        <f t="shared" si="36"/>
        <v>41</v>
      </c>
      <c r="I174" s="158"/>
      <c r="J174" s="158"/>
      <c r="K174" s="351"/>
      <c r="L174" s="351"/>
      <c r="M174" s="346">
        <v>41</v>
      </c>
      <c r="N174" s="169"/>
      <c r="O174" s="67" t="s">
        <v>270</v>
      </c>
    </row>
    <row r="175" spans="1:15" s="131" customFormat="1" ht="45">
      <c r="A175" s="342">
        <v>23</v>
      </c>
      <c r="B175" s="348" t="s">
        <v>405</v>
      </c>
      <c r="C175" s="281" t="s">
        <v>289</v>
      </c>
      <c r="D175" s="349">
        <v>333</v>
      </c>
      <c r="E175" s="350">
        <f t="shared" si="35"/>
        <v>333</v>
      </c>
      <c r="F175" s="351">
        <v>0</v>
      </c>
      <c r="G175" s="169">
        <f t="shared" si="32"/>
        <v>333</v>
      </c>
      <c r="H175" s="170">
        <f t="shared" si="36"/>
        <v>333</v>
      </c>
      <c r="I175" s="158"/>
      <c r="J175" s="158"/>
      <c r="K175" s="351"/>
      <c r="L175" s="351"/>
      <c r="M175" s="346">
        <v>333</v>
      </c>
      <c r="N175" s="169"/>
      <c r="O175" s="67" t="s">
        <v>270</v>
      </c>
    </row>
    <row r="176" spans="1:15" s="131" customFormat="1" ht="93.75" customHeight="1">
      <c r="A176" s="342">
        <v>24</v>
      </c>
      <c r="B176" s="348" t="s">
        <v>406</v>
      </c>
      <c r="C176" s="281" t="s">
        <v>289</v>
      </c>
      <c r="D176" s="349">
        <v>321</v>
      </c>
      <c r="E176" s="350">
        <f>D176</f>
        <v>321</v>
      </c>
      <c r="F176" s="351">
        <v>0</v>
      </c>
      <c r="G176" s="169">
        <f t="shared" ref="G176:G185" si="37">D176-F176</f>
        <v>321</v>
      </c>
      <c r="H176" s="170">
        <f>SUM(K176:N176)</f>
        <v>321</v>
      </c>
      <c r="I176" s="158"/>
      <c r="J176" s="158"/>
      <c r="K176" s="351"/>
      <c r="L176" s="351"/>
      <c r="M176" s="346">
        <v>321</v>
      </c>
      <c r="N176" s="169"/>
      <c r="O176" s="67" t="s">
        <v>270</v>
      </c>
    </row>
    <row r="177" spans="1:15" s="131" customFormat="1" ht="63.75">
      <c r="A177" s="342">
        <v>25</v>
      </c>
      <c r="B177" s="376" t="s">
        <v>407</v>
      </c>
      <c r="C177" s="353" t="s">
        <v>289</v>
      </c>
      <c r="D177" s="167">
        <v>321</v>
      </c>
      <c r="E177" s="346">
        <f>D177</f>
        <v>321</v>
      </c>
      <c r="F177" s="168">
        <v>0</v>
      </c>
      <c r="G177" s="169">
        <f t="shared" si="37"/>
        <v>321</v>
      </c>
      <c r="H177" s="170">
        <f>SUM(I177:N177)</f>
        <v>321</v>
      </c>
      <c r="I177" s="168"/>
      <c r="J177" s="170"/>
      <c r="K177" s="169"/>
      <c r="L177" s="169"/>
      <c r="M177" s="168">
        <v>321</v>
      </c>
      <c r="N177" s="169"/>
      <c r="O177" s="67" t="s">
        <v>270</v>
      </c>
    </row>
    <row r="178" spans="1:15" s="131" customFormat="1" ht="66" customHeight="1">
      <c r="A178" s="342">
        <v>26</v>
      </c>
      <c r="B178" s="345" t="s">
        <v>408</v>
      </c>
      <c r="C178" s="281" t="s">
        <v>300</v>
      </c>
      <c r="D178" s="349">
        <v>99</v>
      </c>
      <c r="E178" s="350">
        <f t="shared" ref="E178:E185" si="38">D178</f>
        <v>99</v>
      </c>
      <c r="F178" s="351">
        <v>0</v>
      </c>
      <c r="G178" s="169">
        <f t="shared" si="37"/>
        <v>99</v>
      </c>
      <c r="H178" s="170">
        <f t="shared" ref="H178:H185" si="39">SUM(K178:N178)</f>
        <v>99</v>
      </c>
      <c r="I178" s="158"/>
      <c r="J178" s="158"/>
      <c r="K178" s="351"/>
      <c r="L178" s="351"/>
      <c r="M178" s="346">
        <v>99</v>
      </c>
      <c r="N178" s="169"/>
      <c r="O178" s="67" t="s">
        <v>270</v>
      </c>
    </row>
    <row r="179" spans="1:15" s="131" customFormat="1" ht="63" customHeight="1">
      <c r="A179" s="342">
        <v>27</v>
      </c>
      <c r="B179" s="345" t="s">
        <v>409</v>
      </c>
      <c r="C179" s="281" t="s">
        <v>300</v>
      </c>
      <c r="D179" s="349">
        <v>116</v>
      </c>
      <c r="E179" s="350">
        <f t="shared" si="38"/>
        <v>116</v>
      </c>
      <c r="F179" s="351">
        <v>0</v>
      </c>
      <c r="G179" s="169">
        <f t="shared" si="37"/>
        <v>116</v>
      </c>
      <c r="H179" s="170">
        <f t="shared" si="39"/>
        <v>116</v>
      </c>
      <c r="I179" s="158"/>
      <c r="J179" s="158"/>
      <c r="K179" s="351"/>
      <c r="L179" s="351"/>
      <c r="M179" s="346">
        <v>116</v>
      </c>
      <c r="N179" s="169"/>
      <c r="O179" s="67" t="s">
        <v>270</v>
      </c>
    </row>
    <row r="180" spans="1:15" s="131" customFormat="1" ht="80.25" customHeight="1">
      <c r="A180" s="342">
        <v>28</v>
      </c>
      <c r="B180" s="348" t="s">
        <v>410</v>
      </c>
      <c r="C180" s="281" t="s">
        <v>300</v>
      </c>
      <c r="D180" s="349">
        <v>891</v>
      </c>
      <c r="E180" s="350">
        <f t="shared" si="38"/>
        <v>891</v>
      </c>
      <c r="F180" s="351">
        <v>0</v>
      </c>
      <c r="G180" s="169">
        <f t="shared" si="37"/>
        <v>891</v>
      </c>
      <c r="H180" s="170">
        <f t="shared" si="39"/>
        <v>891</v>
      </c>
      <c r="I180" s="158"/>
      <c r="J180" s="158"/>
      <c r="K180" s="351"/>
      <c r="L180" s="351"/>
      <c r="M180" s="346">
        <v>891</v>
      </c>
      <c r="N180" s="169"/>
      <c r="O180" s="67" t="s">
        <v>270</v>
      </c>
    </row>
    <row r="181" spans="1:15" s="131" customFormat="1" ht="51" customHeight="1">
      <c r="A181" s="342">
        <v>29</v>
      </c>
      <c r="B181" s="348" t="s">
        <v>411</v>
      </c>
      <c r="C181" s="281" t="s">
        <v>300</v>
      </c>
      <c r="D181" s="349">
        <f>500+39</f>
        <v>539</v>
      </c>
      <c r="E181" s="350">
        <f t="shared" si="38"/>
        <v>539</v>
      </c>
      <c r="F181" s="351">
        <v>39</v>
      </c>
      <c r="G181" s="169">
        <f t="shared" si="37"/>
        <v>500</v>
      </c>
      <c r="H181" s="170">
        <f t="shared" si="39"/>
        <v>500</v>
      </c>
      <c r="I181" s="158"/>
      <c r="J181" s="158"/>
      <c r="K181" s="351"/>
      <c r="L181" s="351"/>
      <c r="M181" s="346">
        <f>500</f>
        <v>500</v>
      </c>
      <c r="N181" s="169"/>
      <c r="O181" s="67" t="s">
        <v>270</v>
      </c>
    </row>
    <row r="182" spans="1:15" s="131" customFormat="1" ht="77.25" customHeight="1">
      <c r="A182" s="342">
        <v>30</v>
      </c>
      <c r="B182" s="348" t="s">
        <v>412</v>
      </c>
      <c r="C182" s="281" t="s">
        <v>300</v>
      </c>
      <c r="D182" s="349">
        <f>17+525</f>
        <v>542</v>
      </c>
      <c r="E182" s="350">
        <f t="shared" si="38"/>
        <v>542</v>
      </c>
      <c r="F182" s="351">
        <v>17</v>
      </c>
      <c r="G182" s="169">
        <f t="shared" si="37"/>
        <v>525</v>
      </c>
      <c r="H182" s="170">
        <f t="shared" si="39"/>
        <v>525</v>
      </c>
      <c r="I182" s="158"/>
      <c r="J182" s="158"/>
      <c r="K182" s="351"/>
      <c r="L182" s="351"/>
      <c r="M182" s="346">
        <v>525</v>
      </c>
      <c r="N182" s="169"/>
      <c r="O182" s="67" t="s">
        <v>270</v>
      </c>
    </row>
    <row r="183" spans="1:15" s="131" customFormat="1" ht="70.5" customHeight="1">
      <c r="A183" s="342">
        <v>31</v>
      </c>
      <c r="B183" s="345" t="s">
        <v>413</v>
      </c>
      <c r="C183" s="195" t="s">
        <v>300</v>
      </c>
      <c r="D183" s="349">
        <v>131</v>
      </c>
      <c r="E183" s="350">
        <f t="shared" si="38"/>
        <v>131</v>
      </c>
      <c r="F183" s="351">
        <v>0</v>
      </c>
      <c r="G183" s="169">
        <f t="shared" si="37"/>
        <v>131</v>
      </c>
      <c r="H183" s="170">
        <f t="shared" si="39"/>
        <v>131</v>
      </c>
      <c r="I183" s="158"/>
      <c r="J183" s="158"/>
      <c r="K183" s="351"/>
      <c r="L183" s="351"/>
      <c r="M183" s="346">
        <v>131</v>
      </c>
      <c r="N183" s="169"/>
      <c r="O183" s="67" t="s">
        <v>270</v>
      </c>
    </row>
    <row r="184" spans="1:15" s="131" customFormat="1" ht="105">
      <c r="A184" s="342">
        <v>32</v>
      </c>
      <c r="B184" s="348" t="s">
        <v>414</v>
      </c>
      <c r="C184" s="281" t="s">
        <v>300</v>
      </c>
      <c r="D184" s="349">
        <v>322</v>
      </c>
      <c r="E184" s="350">
        <f t="shared" si="38"/>
        <v>322</v>
      </c>
      <c r="F184" s="351">
        <v>0</v>
      </c>
      <c r="G184" s="169">
        <f t="shared" si="37"/>
        <v>322</v>
      </c>
      <c r="H184" s="170">
        <f t="shared" si="39"/>
        <v>322</v>
      </c>
      <c r="I184" s="158"/>
      <c r="J184" s="158"/>
      <c r="K184" s="351"/>
      <c r="L184" s="351"/>
      <c r="M184" s="346">
        <v>322</v>
      </c>
      <c r="N184" s="169"/>
      <c r="O184" s="67" t="s">
        <v>270</v>
      </c>
    </row>
    <row r="185" spans="1:15" s="131" customFormat="1" ht="52.5">
      <c r="A185" s="342">
        <v>33</v>
      </c>
      <c r="B185" s="345" t="s">
        <v>415</v>
      </c>
      <c r="C185" s="195" t="s">
        <v>300</v>
      </c>
      <c r="D185" s="349">
        <f>202+287</f>
        <v>489</v>
      </c>
      <c r="E185" s="350">
        <f t="shared" si="38"/>
        <v>489</v>
      </c>
      <c r="F185" s="351">
        <v>202</v>
      </c>
      <c r="G185" s="169">
        <f t="shared" si="37"/>
        <v>287</v>
      </c>
      <c r="H185" s="170">
        <f t="shared" si="39"/>
        <v>287</v>
      </c>
      <c r="I185" s="158"/>
      <c r="J185" s="158"/>
      <c r="K185" s="351"/>
      <c r="L185" s="351"/>
      <c r="M185" s="346">
        <v>287</v>
      </c>
      <c r="N185" s="169"/>
      <c r="O185" s="67" t="s">
        <v>270</v>
      </c>
    </row>
    <row r="186" spans="1:15" ht="23.25" customHeight="1">
      <c r="A186" s="177"/>
      <c r="B186" s="178"/>
      <c r="C186" s="157" t="s">
        <v>304</v>
      </c>
      <c r="D186" s="179">
        <f t="shared" ref="D186:N186" si="40">SUM(D153:D185)</f>
        <v>15059</v>
      </c>
      <c r="E186" s="179">
        <f t="shared" si="40"/>
        <v>15059</v>
      </c>
      <c r="F186" s="179">
        <f t="shared" si="40"/>
        <v>1496</v>
      </c>
      <c r="G186" s="179">
        <f t="shared" si="40"/>
        <v>13563</v>
      </c>
      <c r="H186" s="179">
        <f t="shared" si="40"/>
        <v>13563</v>
      </c>
      <c r="I186" s="179">
        <f t="shared" si="40"/>
        <v>0</v>
      </c>
      <c r="J186" s="179">
        <f t="shared" si="40"/>
        <v>0</v>
      </c>
      <c r="K186" s="179">
        <f t="shared" si="40"/>
        <v>0</v>
      </c>
      <c r="L186" s="179">
        <f t="shared" si="40"/>
        <v>0</v>
      </c>
      <c r="M186" s="179">
        <f t="shared" si="40"/>
        <v>13563</v>
      </c>
      <c r="N186" s="179">
        <f t="shared" si="40"/>
        <v>0</v>
      </c>
    </row>
    <row r="187" spans="1:15" ht="23.25" customHeight="1">
      <c r="A187" s="177"/>
      <c r="B187" s="178"/>
      <c r="C187" s="157"/>
      <c r="D187" s="180"/>
      <c r="E187" s="180"/>
      <c r="F187" s="180"/>
      <c r="G187" s="180"/>
      <c r="H187" s="180"/>
      <c r="I187" s="180"/>
      <c r="J187" s="180"/>
      <c r="K187" s="180"/>
      <c r="L187" s="180"/>
      <c r="M187" s="180"/>
      <c r="N187" s="180"/>
    </row>
    <row r="188" spans="1:15" ht="23.25" customHeight="1">
      <c r="A188" s="177"/>
      <c r="B188" s="178"/>
      <c r="C188" s="157"/>
      <c r="D188" s="180"/>
      <c r="E188" s="180"/>
      <c r="F188" s="180"/>
      <c r="G188" s="180"/>
      <c r="H188" s="180"/>
      <c r="I188" s="180"/>
      <c r="J188" s="180"/>
      <c r="K188" s="180"/>
      <c r="L188" s="180"/>
      <c r="M188" s="180"/>
      <c r="N188" s="180"/>
    </row>
    <row r="189" spans="1:15" ht="23.25" customHeight="1">
      <c r="A189" s="177"/>
      <c r="B189" s="178"/>
      <c r="C189" s="157"/>
      <c r="D189" s="180"/>
      <c r="E189" s="180"/>
      <c r="F189" s="180"/>
      <c r="G189" s="180"/>
      <c r="H189" s="180"/>
      <c r="I189" s="180"/>
      <c r="J189" s="180"/>
      <c r="K189" s="180"/>
      <c r="L189" s="180"/>
      <c r="M189" s="180"/>
      <c r="N189" s="180"/>
    </row>
    <row r="190" spans="1:15" ht="28.5" customHeight="1" thickBot="1">
      <c r="A190" s="70" t="s">
        <v>416</v>
      </c>
      <c r="B190" s="74"/>
      <c r="C190" s="71"/>
      <c r="D190" s="72"/>
      <c r="E190" s="72"/>
      <c r="F190" s="4"/>
      <c r="G190" s="4"/>
      <c r="H190" s="4"/>
      <c r="I190" s="4"/>
      <c r="J190" s="4"/>
      <c r="K190" s="4"/>
      <c r="L190" s="69"/>
      <c r="M190" s="4"/>
      <c r="N190" s="73" t="s">
        <v>41</v>
      </c>
    </row>
    <row r="191" spans="1:15" ht="50.25" customHeight="1" thickBot="1">
      <c r="A191" s="185" t="s">
        <v>259</v>
      </c>
      <c r="B191" s="186" t="s">
        <v>260</v>
      </c>
      <c r="C191" s="187" t="s">
        <v>261</v>
      </c>
      <c r="D191" s="186" t="s">
        <v>262</v>
      </c>
      <c r="E191" s="188" t="s">
        <v>263</v>
      </c>
      <c r="F191" s="189" t="s">
        <v>264</v>
      </c>
      <c r="G191" s="189" t="s">
        <v>265</v>
      </c>
      <c r="H191" s="189" t="s">
        <v>266</v>
      </c>
      <c r="I191" s="86" t="s">
        <v>24</v>
      </c>
      <c r="J191" s="87" t="s">
        <v>25</v>
      </c>
      <c r="K191" s="190" t="s">
        <v>26</v>
      </c>
      <c r="L191" s="189" t="s">
        <v>27</v>
      </c>
      <c r="M191" s="189" t="s">
        <v>28</v>
      </c>
      <c r="N191" s="191" t="s">
        <v>267</v>
      </c>
    </row>
    <row r="192" spans="1:15" ht="101.25" customHeight="1">
      <c r="A192" s="347">
        <v>1</v>
      </c>
      <c r="B192" s="343" t="s">
        <v>417</v>
      </c>
      <c r="C192" s="281" t="s">
        <v>289</v>
      </c>
      <c r="D192" s="344">
        <f>2906+4654</f>
        <v>7560</v>
      </c>
      <c r="E192" s="167">
        <f>D192</f>
        <v>7560</v>
      </c>
      <c r="F192" s="346">
        <f>2326+580</f>
        <v>2906</v>
      </c>
      <c r="G192" s="363">
        <f>D192-F192</f>
        <v>4654</v>
      </c>
      <c r="H192" s="158">
        <f>SUM(K192:N192)</f>
        <v>100</v>
      </c>
      <c r="I192" s="158"/>
      <c r="J192" s="158"/>
      <c r="K192" s="351"/>
      <c r="L192" s="351"/>
      <c r="M192" s="346">
        <v>100</v>
      </c>
      <c r="N192" s="351"/>
      <c r="O192" s="67" t="s">
        <v>270</v>
      </c>
    </row>
    <row r="193" spans="1:15" ht="86.25" customHeight="1">
      <c r="A193" s="347">
        <v>2</v>
      </c>
      <c r="B193" s="343" t="s">
        <v>418</v>
      </c>
      <c r="C193" s="281" t="s">
        <v>300</v>
      </c>
      <c r="D193" s="344">
        <f>16+101+500</f>
        <v>617</v>
      </c>
      <c r="E193" s="167">
        <f>D193</f>
        <v>617</v>
      </c>
      <c r="F193" s="346">
        <f>16+101</f>
        <v>117</v>
      </c>
      <c r="G193" s="363">
        <f>D193-F193</f>
        <v>500</v>
      </c>
      <c r="H193" s="158">
        <f>SUM(K193:N193)</f>
        <v>500</v>
      </c>
      <c r="I193" s="158"/>
      <c r="J193" s="158"/>
      <c r="K193" s="351"/>
      <c r="L193" s="351"/>
      <c r="M193" s="346">
        <v>500</v>
      </c>
      <c r="N193" s="351"/>
      <c r="O193" s="67" t="s">
        <v>270</v>
      </c>
    </row>
    <row r="194" spans="1:15" ht="81.75" customHeight="1">
      <c r="A194" s="347">
        <v>3</v>
      </c>
      <c r="B194" s="348" t="s">
        <v>419</v>
      </c>
      <c r="C194" s="281" t="s">
        <v>300</v>
      </c>
      <c r="D194" s="349">
        <f>1102+50</f>
        <v>1152</v>
      </c>
      <c r="E194" s="350">
        <f>D194</f>
        <v>1152</v>
      </c>
      <c r="F194" s="351">
        <v>50</v>
      </c>
      <c r="G194" s="169">
        <f>D194-F194</f>
        <v>1102</v>
      </c>
      <c r="H194" s="170">
        <f>SUM(I194:N194)</f>
        <v>1102</v>
      </c>
      <c r="I194" s="346">
        <v>1102</v>
      </c>
      <c r="J194" s="158"/>
      <c r="K194" s="351"/>
      <c r="L194" s="351"/>
      <c r="M194" s="346">
        <v>0</v>
      </c>
      <c r="N194" s="169"/>
      <c r="O194" s="67" t="s">
        <v>270</v>
      </c>
    </row>
    <row r="195" spans="1:15" ht="18.75" customHeight="1">
      <c r="A195" s="156"/>
      <c r="B195" s="4" t="s">
        <v>14</v>
      </c>
      <c r="C195" s="157" t="s">
        <v>304</v>
      </c>
      <c r="D195" s="158">
        <f t="shared" ref="D195:N195" si="41">SUM(D192:D194)</f>
        <v>9329</v>
      </c>
      <c r="E195" s="158">
        <f t="shared" si="41"/>
        <v>9329</v>
      </c>
      <c r="F195" s="158">
        <f t="shared" si="41"/>
        <v>3073</v>
      </c>
      <c r="G195" s="158">
        <f t="shared" si="41"/>
        <v>6256</v>
      </c>
      <c r="H195" s="158">
        <f t="shared" si="41"/>
        <v>1702</v>
      </c>
      <c r="I195" s="158">
        <f t="shared" si="41"/>
        <v>1102</v>
      </c>
      <c r="J195" s="158">
        <f t="shared" si="41"/>
        <v>0</v>
      </c>
      <c r="K195" s="158">
        <f t="shared" si="41"/>
        <v>0</v>
      </c>
      <c r="L195" s="158">
        <f t="shared" si="41"/>
        <v>0</v>
      </c>
      <c r="M195" s="158">
        <f t="shared" si="41"/>
        <v>600</v>
      </c>
      <c r="N195" s="158">
        <f t="shared" si="41"/>
        <v>0</v>
      </c>
      <c r="O195" s="159"/>
    </row>
    <row r="196" spans="1:15" ht="18.75" customHeight="1">
      <c r="A196" s="156"/>
      <c r="B196" s="4"/>
      <c r="C196" s="157"/>
      <c r="D196" s="5"/>
      <c r="E196" s="5"/>
      <c r="F196" s="5"/>
      <c r="G196" s="5"/>
      <c r="H196" s="5"/>
      <c r="I196" s="5"/>
      <c r="J196" s="5"/>
      <c r="K196" s="5"/>
      <c r="L196" s="5"/>
      <c r="M196" s="5"/>
      <c r="N196" s="5"/>
      <c r="O196" s="159"/>
    </row>
    <row r="197" spans="1:15" ht="31.5" customHeight="1" thickBot="1">
      <c r="A197" s="70" t="s">
        <v>420</v>
      </c>
      <c r="B197" s="74"/>
      <c r="C197" s="71"/>
      <c r="D197" s="72"/>
      <c r="E197" s="72"/>
      <c r="F197" s="4"/>
      <c r="G197" s="4"/>
      <c r="H197" s="4"/>
      <c r="I197" s="4"/>
      <c r="J197" s="4"/>
      <c r="K197" s="4"/>
      <c r="L197" s="69"/>
      <c r="M197" s="4"/>
      <c r="N197" s="73" t="s">
        <v>41</v>
      </c>
    </row>
    <row r="198" spans="1:15" ht="58.5" customHeight="1" thickBot="1">
      <c r="A198" s="185" t="s">
        <v>259</v>
      </c>
      <c r="B198" s="186" t="s">
        <v>260</v>
      </c>
      <c r="C198" s="187" t="s">
        <v>261</v>
      </c>
      <c r="D198" s="186" t="s">
        <v>262</v>
      </c>
      <c r="E198" s="188" t="s">
        <v>263</v>
      </c>
      <c r="F198" s="189" t="s">
        <v>264</v>
      </c>
      <c r="G198" s="189" t="s">
        <v>265</v>
      </c>
      <c r="H198" s="189" t="s">
        <v>266</v>
      </c>
      <c r="I198" s="86" t="s">
        <v>24</v>
      </c>
      <c r="J198" s="87" t="s">
        <v>25</v>
      </c>
      <c r="K198" s="190" t="s">
        <v>26</v>
      </c>
      <c r="L198" s="189" t="s">
        <v>27</v>
      </c>
      <c r="M198" s="189" t="s">
        <v>28</v>
      </c>
      <c r="N198" s="191" t="s">
        <v>267</v>
      </c>
    </row>
    <row r="199" spans="1:15" ht="76.5" customHeight="1">
      <c r="A199" s="360">
        <v>1</v>
      </c>
      <c r="B199" s="364" t="s">
        <v>421</v>
      </c>
      <c r="C199" s="281" t="s">
        <v>269</v>
      </c>
      <c r="D199" s="167">
        <v>9</v>
      </c>
      <c r="E199" s="167">
        <f>D199</f>
        <v>9</v>
      </c>
      <c r="F199" s="168">
        <v>0</v>
      </c>
      <c r="G199" s="169">
        <f>D199-F199</f>
        <v>9</v>
      </c>
      <c r="H199" s="170">
        <f>SUM(K199:N199)</f>
        <v>9</v>
      </c>
      <c r="I199" s="170"/>
      <c r="J199" s="170"/>
      <c r="K199" s="169"/>
      <c r="L199" s="169"/>
      <c r="M199" s="168">
        <v>9</v>
      </c>
      <c r="N199" s="169"/>
      <c r="O199" s="67" t="s">
        <v>270</v>
      </c>
    </row>
    <row r="200" spans="1:15" ht="17.25" customHeight="1">
      <c r="A200" s="156"/>
      <c r="B200" s="4"/>
      <c r="C200" s="157" t="s">
        <v>304</v>
      </c>
      <c r="D200" s="158">
        <f t="shared" ref="D200:N200" si="42">SUM(D199:D199)</f>
        <v>9</v>
      </c>
      <c r="E200" s="158">
        <f t="shared" si="42"/>
        <v>9</v>
      </c>
      <c r="F200" s="158">
        <f t="shared" si="42"/>
        <v>0</v>
      </c>
      <c r="G200" s="158">
        <f t="shared" si="42"/>
        <v>9</v>
      </c>
      <c r="H200" s="158">
        <f t="shared" si="42"/>
        <v>9</v>
      </c>
      <c r="I200" s="158">
        <f t="shared" si="42"/>
        <v>0</v>
      </c>
      <c r="J200" s="158">
        <f t="shared" si="42"/>
        <v>0</v>
      </c>
      <c r="K200" s="158">
        <f t="shared" si="42"/>
        <v>0</v>
      </c>
      <c r="L200" s="158">
        <f t="shared" si="42"/>
        <v>0</v>
      </c>
      <c r="M200" s="158">
        <f t="shared" si="42"/>
        <v>9</v>
      </c>
      <c r="N200" s="158">
        <f t="shared" si="42"/>
        <v>0</v>
      </c>
      <c r="O200" s="159"/>
    </row>
    <row r="201" spans="1:15" ht="27.75" customHeight="1">
      <c r="A201" s="156"/>
      <c r="B201" s="4"/>
      <c r="C201" s="157"/>
      <c r="D201" s="5"/>
      <c r="E201" s="5"/>
      <c r="F201" s="5"/>
      <c r="G201" s="5"/>
      <c r="H201" s="5"/>
      <c r="I201" s="5"/>
      <c r="J201" s="5"/>
      <c r="K201" s="5"/>
      <c r="L201" s="5"/>
      <c r="M201" s="5"/>
      <c r="N201" s="5"/>
      <c r="O201" s="159"/>
    </row>
    <row r="202" spans="1:15" ht="24.75" customHeight="1" thickBot="1">
      <c r="A202" s="70" t="s">
        <v>422</v>
      </c>
      <c r="B202" s="74"/>
      <c r="C202" s="71"/>
      <c r="D202" s="72"/>
      <c r="E202" s="72"/>
      <c r="F202" s="4"/>
      <c r="G202" s="4"/>
      <c r="H202" s="4"/>
      <c r="I202" s="4"/>
      <c r="J202" s="4"/>
      <c r="K202" s="4"/>
      <c r="L202" s="69"/>
      <c r="M202" s="4"/>
      <c r="O202" s="159"/>
    </row>
    <row r="203" spans="1:15" ht="55.5" customHeight="1" thickBot="1">
      <c r="A203" s="185" t="s">
        <v>259</v>
      </c>
      <c r="B203" s="186" t="s">
        <v>260</v>
      </c>
      <c r="C203" s="187" t="s">
        <v>261</v>
      </c>
      <c r="D203" s="186" t="s">
        <v>262</v>
      </c>
      <c r="E203" s="188" t="s">
        <v>263</v>
      </c>
      <c r="F203" s="189" t="s">
        <v>264</v>
      </c>
      <c r="G203" s="189" t="s">
        <v>265</v>
      </c>
      <c r="H203" s="189" t="s">
        <v>266</v>
      </c>
      <c r="I203" s="86" t="s">
        <v>24</v>
      </c>
      <c r="J203" s="87" t="s">
        <v>25</v>
      </c>
      <c r="K203" s="190" t="s">
        <v>26</v>
      </c>
      <c r="L203" s="189" t="s">
        <v>27</v>
      </c>
      <c r="M203" s="189" t="s">
        <v>28</v>
      </c>
      <c r="N203" s="191" t="s">
        <v>267</v>
      </c>
      <c r="O203" s="159"/>
    </row>
    <row r="204" spans="1:15" ht="42">
      <c r="A204" s="347">
        <v>1</v>
      </c>
      <c r="B204" s="352" t="s">
        <v>423</v>
      </c>
      <c r="C204" s="281" t="s">
        <v>289</v>
      </c>
      <c r="D204" s="167">
        <v>1</v>
      </c>
      <c r="E204" s="167">
        <f t="shared" ref="E204:E213" si="43">D204</f>
        <v>1</v>
      </c>
      <c r="F204" s="168">
        <v>0</v>
      </c>
      <c r="G204" s="169">
        <f t="shared" ref="G204:G213" si="44">D204-F204</f>
        <v>1</v>
      </c>
      <c r="H204" s="170">
        <f t="shared" ref="H204:H213" si="45">SUM(I204:N204)</f>
        <v>1</v>
      </c>
      <c r="I204" s="168"/>
      <c r="J204" s="170"/>
      <c r="K204" s="169"/>
      <c r="L204" s="169"/>
      <c r="M204" s="168">
        <v>1</v>
      </c>
      <c r="N204" s="169"/>
      <c r="O204" s="67" t="s">
        <v>270</v>
      </c>
    </row>
    <row r="205" spans="1:15" ht="45">
      <c r="A205" s="347">
        <v>2</v>
      </c>
      <c r="B205" s="352" t="s">
        <v>424</v>
      </c>
      <c r="C205" s="353" t="s">
        <v>289</v>
      </c>
      <c r="D205" s="167">
        <f>132+160</f>
        <v>292</v>
      </c>
      <c r="E205" s="346">
        <f t="shared" si="43"/>
        <v>292</v>
      </c>
      <c r="F205" s="168">
        <v>132</v>
      </c>
      <c r="G205" s="169">
        <f t="shared" si="44"/>
        <v>160</v>
      </c>
      <c r="H205" s="170">
        <f t="shared" si="45"/>
        <v>160</v>
      </c>
      <c r="I205" s="168"/>
      <c r="J205" s="170"/>
      <c r="K205" s="169"/>
      <c r="L205" s="169"/>
      <c r="M205" s="168">
        <v>160</v>
      </c>
      <c r="N205" s="169"/>
      <c r="O205" s="67" t="s">
        <v>270</v>
      </c>
    </row>
    <row r="206" spans="1:15" ht="44.25" customHeight="1">
      <c r="A206" s="347">
        <v>3</v>
      </c>
      <c r="B206" s="345" t="s">
        <v>425</v>
      </c>
      <c r="C206" s="281" t="s">
        <v>289</v>
      </c>
      <c r="D206" s="349">
        <v>1</v>
      </c>
      <c r="E206" s="350">
        <f>D206</f>
        <v>1</v>
      </c>
      <c r="F206" s="351">
        <v>0</v>
      </c>
      <c r="G206" s="169">
        <f>D206-F206</f>
        <v>1</v>
      </c>
      <c r="H206" s="170">
        <f>SUM(K206:N206)</f>
        <v>1</v>
      </c>
      <c r="I206" s="158"/>
      <c r="J206" s="158"/>
      <c r="K206" s="351"/>
      <c r="L206" s="351"/>
      <c r="M206" s="346">
        <v>1</v>
      </c>
      <c r="N206" s="169"/>
      <c r="O206" s="67" t="s">
        <v>270</v>
      </c>
    </row>
    <row r="207" spans="1:15" ht="70.5" customHeight="1">
      <c r="A207" s="347">
        <v>4</v>
      </c>
      <c r="B207" s="352" t="s">
        <v>426</v>
      </c>
      <c r="C207" s="353" t="s">
        <v>289</v>
      </c>
      <c r="D207" s="167">
        <v>321</v>
      </c>
      <c r="E207" s="346">
        <f t="shared" si="43"/>
        <v>321</v>
      </c>
      <c r="F207" s="168">
        <v>0</v>
      </c>
      <c r="G207" s="169">
        <f t="shared" si="44"/>
        <v>321</v>
      </c>
      <c r="H207" s="170">
        <f t="shared" si="45"/>
        <v>321</v>
      </c>
      <c r="I207" s="168"/>
      <c r="J207" s="170"/>
      <c r="K207" s="169"/>
      <c r="L207" s="169"/>
      <c r="M207" s="168">
        <v>321</v>
      </c>
      <c r="N207" s="169"/>
      <c r="O207" s="67" t="s">
        <v>270</v>
      </c>
    </row>
    <row r="208" spans="1:15" ht="44.25" customHeight="1">
      <c r="A208" s="347">
        <v>5</v>
      </c>
      <c r="B208" s="376" t="s">
        <v>427</v>
      </c>
      <c r="C208" s="353" t="s">
        <v>289</v>
      </c>
      <c r="D208" s="167">
        <v>321</v>
      </c>
      <c r="E208" s="346">
        <f t="shared" si="43"/>
        <v>321</v>
      </c>
      <c r="F208" s="168">
        <v>0</v>
      </c>
      <c r="G208" s="169">
        <f t="shared" si="44"/>
        <v>321</v>
      </c>
      <c r="H208" s="170">
        <f t="shared" si="45"/>
        <v>321</v>
      </c>
      <c r="I208" s="168"/>
      <c r="J208" s="170"/>
      <c r="K208" s="169"/>
      <c r="L208" s="169"/>
      <c r="M208" s="168">
        <v>321</v>
      </c>
      <c r="N208" s="169"/>
      <c r="O208" s="67" t="s">
        <v>270</v>
      </c>
    </row>
    <row r="209" spans="1:15" ht="42">
      <c r="A209" s="347">
        <v>6</v>
      </c>
      <c r="B209" s="376" t="s">
        <v>428</v>
      </c>
      <c r="C209" s="353" t="s">
        <v>289</v>
      </c>
      <c r="D209" s="167">
        <v>321</v>
      </c>
      <c r="E209" s="346">
        <f t="shared" si="43"/>
        <v>321</v>
      </c>
      <c r="F209" s="168">
        <v>0</v>
      </c>
      <c r="G209" s="169">
        <f t="shared" si="44"/>
        <v>321</v>
      </c>
      <c r="H209" s="170">
        <f t="shared" si="45"/>
        <v>321</v>
      </c>
      <c r="I209" s="168"/>
      <c r="J209" s="170"/>
      <c r="K209" s="169"/>
      <c r="L209" s="169"/>
      <c r="M209" s="168">
        <v>321</v>
      </c>
      <c r="N209" s="169"/>
      <c r="O209" s="67" t="s">
        <v>270</v>
      </c>
    </row>
    <row r="210" spans="1:15" ht="78" customHeight="1">
      <c r="A210" s="347">
        <v>7</v>
      </c>
      <c r="B210" s="376" t="s">
        <v>429</v>
      </c>
      <c r="C210" s="353" t="s">
        <v>289</v>
      </c>
      <c r="D210" s="167">
        <v>108</v>
      </c>
      <c r="E210" s="346">
        <f>D210</f>
        <v>108</v>
      </c>
      <c r="F210" s="168">
        <v>0</v>
      </c>
      <c r="G210" s="169">
        <f>D210-F210</f>
        <v>108</v>
      </c>
      <c r="H210" s="170">
        <f>SUM(I210:N210)</f>
        <v>108</v>
      </c>
      <c r="I210" s="168"/>
      <c r="J210" s="170"/>
      <c r="K210" s="169"/>
      <c r="L210" s="169"/>
      <c r="M210" s="168">
        <v>108</v>
      </c>
      <c r="N210" s="169"/>
      <c r="O210" s="67" t="s">
        <v>270</v>
      </c>
    </row>
    <row r="211" spans="1:15" ht="76.5" customHeight="1">
      <c r="A211" s="347">
        <v>8</v>
      </c>
      <c r="B211" s="376" t="s">
        <v>430</v>
      </c>
      <c r="C211" s="353" t="s">
        <v>289</v>
      </c>
      <c r="D211" s="167">
        <v>14</v>
      </c>
      <c r="E211" s="346">
        <f>D211</f>
        <v>14</v>
      </c>
      <c r="F211" s="168">
        <v>0</v>
      </c>
      <c r="G211" s="169">
        <f>D211-F211</f>
        <v>14</v>
      </c>
      <c r="H211" s="170">
        <f>SUM(I211:N211)</f>
        <v>14</v>
      </c>
      <c r="I211" s="168"/>
      <c r="J211" s="170"/>
      <c r="K211" s="169"/>
      <c r="L211" s="169"/>
      <c r="M211" s="168">
        <v>14</v>
      </c>
      <c r="N211" s="169"/>
      <c r="O211" s="67" t="s">
        <v>270</v>
      </c>
    </row>
    <row r="212" spans="1:15" ht="63.75" customHeight="1">
      <c r="A212" s="347">
        <v>9</v>
      </c>
      <c r="B212" s="376" t="s">
        <v>431</v>
      </c>
      <c r="C212" s="353" t="s">
        <v>289</v>
      </c>
      <c r="D212" s="167">
        <v>321</v>
      </c>
      <c r="E212" s="346">
        <f>D212</f>
        <v>321</v>
      </c>
      <c r="F212" s="168">
        <v>0</v>
      </c>
      <c r="G212" s="169">
        <f>D212-F212</f>
        <v>321</v>
      </c>
      <c r="H212" s="170">
        <f>SUM(I212:N212)</f>
        <v>321</v>
      </c>
      <c r="I212" s="168"/>
      <c r="J212" s="170"/>
      <c r="K212" s="169"/>
      <c r="L212" s="169"/>
      <c r="M212" s="168">
        <v>321</v>
      </c>
      <c r="N212" s="169"/>
      <c r="O212" s="67" t="s">
        <v>270</v>
      </c>
    </row>
    <row r="213" spans="1:15" ht="47.25" customHeight="1">
      <c r="A213" s="347">
        <v>10</v>
      </c>
      <c r="B213" s="376" t="s">
        <v>432</v>
      </c>
      <c r="C213" s="353" t="s">
        <v>289</v>
      </c>
      <c r="D213" s="167">
        <v>321</v>
      </c>
      <c r="E213" s="346">
        <f t="shared" si="43"/>
        <v>321</v>
      </c>
      <c r="F213" s="168">
        <v>0</v>
      </c>
      <c r="G213" s="169">
        <f t="shared" si="44"/>
        <v>321</v>
      </c>
      <c r="H213" s="170">
        <f t="shared" si="45"/>
        <v>321</v>
      </c>
      <c r="I213" s="168"/>
      <c r="J213" s="170"/>
      <c r="K213" s="169"/>
      <c r="L213" s="169"/>
      <c r="M213" s="168">
        <v>321</v>
      </c>
      <c r="N213" s="169"/>
      <c r="O213" s="67" t="s">
        <v>270</v>
      </c>
    </row>
    <row r="214" spans="1:15" ht="19.5" customHeight="1">
      <c r="A214" s="156"/>
      <c r="B214" s="4"/>
      <c r="C214" s="157" t="s">
        <v>304</v>
      </c>
      <c r="D214" s="158">
        <f t="shared" ref="D214:N214" si="46">SUM(D204:D213)</f>
        <v>2021</v>
      </c>
      <c r="E214" s="158">
        <f t="shared" si="46"/>
        <v>2021</v>
      </c>
      <c r="F214" s="158">
        <f t="shared" si="46"/>
        <v>132</v>
      </c>
      <c r="G214" s="158">
        <f t="shared" si="46"/>
        <v>1889</v>
      </c>
      <c r="H214" s="158">
        <f t="shared" si="46"/>
        <v>1889</v>
      </c>
      <c r="I214" s="158">
        <f t="shared" si="46"/>
        <v>0</v>
      </c>
      <c r="J214" s="158">
        <f t="shared" si="46"/>
        <v>0</v>
      </c>
      <c r="K214" s="158">
        <f t="shared" si="46"/>
        <v>0</v>
      </c>
      <c r="L214" s="158">
        <f t="shared" si="46"/>
        <v>0</v>
      </c>
      <c r="M214" s="158">
        <f t="shared" si="46"/>
        <v>1889</v>
      </c>
      <c r="N214" s="158">
        <f t="shared" si="46"/>
        <v>0</v>
      </c>
      <c r="O214" s="159"/>
    </row>
    <row r="215" spans="1:15" ht="16.5" customHeight="1">
      <c r="A215" s="156"/>
      <c r="B215" s="4"/>
      <c r="C215" s="157"/>
      <c r="D215" s="5"/>
      <c r="E215" s="5"/>
      <c r="F215" s="5"/>
      <c r="G215" s="5"/>
      <c r="H215" s="5"/>
      <c r="I215" s="5"/>
      <c r="J215" s="5"/>
      <c r="K215" s="5"/>
      <c r="L215" s="5"/>
      <c r="M215" s="5"/>
      <c r="N215" s="5"/>
      <c r="O215" s="159"/>
    </row>
    <row r="216" spans="1:15" ht="22.5" customHeight="1" thickBot="1">
      <c r="A216" s="70" t="s">
        <v>433</v>
      </c>
      <c r="B216" s="181"/>
      <c r="C216" s="71"/>
      <c r="D216" s="72"/>
      <c r="E216" s="72"/>
      <c r="F216" s="4"/>
      <c r="G216" s="4"/>
      <c r="H216" s="4"/>
      <c r="I216" s="4"/>
      <c r="J216" s="4"/>
      <c r="K216" s="4"/>
      <c r="L216" s="69"/>
      <c r="M216" s="4"/>
      <c r="N216" s="73" t="s">
        <v>41</v>
      </c>
    </row>
    <row r="217" spans="1:15" ht="48.75" thickBot="1">
      <c r="A217" s="185" t="s">
        <v>259</v>
      </c>
      <c r="B217" s="186" t="s">
        <v>260</v>
      </c>
      <c r="C217" s="187" t="s">
        <v>261</v>
      </c>
      <c r="D217" s="186" t="s">
        <v>262</v>
      </c>
      <c r="E217" s="188" t="s">
        <v>263</v>
      </c>
      <c r="F217" s="189" t="s">
        <v>264</v>
      </c>
      <c r="G217" s="189" t="s">
        <v>265</v>
      </c>
      <c r="H217" s="189" t="s">
        <v>266</v>
      </c>
      <c r="I217" s="86" t="s">
        <v>24</v>
      </c>
      <c r="J217" s="87" t="s">
        <v>25</v>
      </c>
      <c r="K217" s="190" t="s">
        <v>26</v>
      </c>
      <c r="L217" s="189" t="s">
        <v>27</v>
      </c>
      <c r="M217" s="189" t="s">
        <v>28</v>
      </c>
      <c r="N217" s="191" t="s">
        <v>267</v>
      </c>
    </row>
    <row r="218" spans="1:15" ht="135">
      <c r="A218" s="342">
        <v>1</v>
      </c>
      <c r="B218" s="354" t="s">
        <v>434</v>
      </c>
      <c r="C218" s="359" t="s">
        <v>269</v>
      </c>
      <c r="D218" s="355">
        <f>162+3976+60+120</f>
        <v>4318</v>
      </c>
      <c r="E218" s="167">
        <f t="shared" ref="E218:E225" si="47">D218</f>
        <v>4318</v>
      </c>
      <c r="F218" s="168">
        <f>102+60</f>
        <v>162</v>
      </c>
      <c r="G218" s="169">
        <f t="shared" ref="G218:G225" si="48">D218-F218</f>
        <v>4156</v>
      </c>
      <c r="H218" s="170">
        <f t="shared" ref="H218:H225" si="49">SUM(K218:N218)</f>
        <v>4156</v>
      </c>
      <c r="I218" s="170"/>
      <c r="J218" s="170"/>
      <c r="K218" s="169">
        <v>0</v>
      </c>
      <c r="L218" s="169"/>
      <c r="M218" s="168">
        <f>3976+60+120</f>
        <v>4156</v>
      </c>
      <c r="N218" s="169"/>
      <c r="O218" s="67" t="s">
        <v>270</v>
      </c>
    </row>
    <row r="219" spans="1:15" ht="75" customHeight="1">
      <c r="A219" s="342">
        <v>2</v>
      </c>
      <c r="B219" s="354" t="s">
        <v>435</v>
      </c>
      <c r="C219" s="195" t="s">
        <v>269</v>
      </c>
      <c r="D219" s="355">
        <v>790</v>
      </c>
      <c r="E219" s="167">
        <f t="shared" si="47"/>
        <v>790</v>
      </c>
      <c r="F219" s="168">
        <v>0</v>
      </c>
      <c r="G219" s="169">
        <f t="shared" si="48"/>
        <v>790</v>
      </c>
      <c r="H219" s="170">
        <f t="shared" si="49"/>
        <v>790</v>
      </c>
      <c r="I219" s="168">
        <v>0</v>
      </c>
      <c r="J219" s="170"/>
      <c r="K219" s="169">
        <v>0</v>
      </c>
      <c r="L219" s="169"/>
      <c r="M219" s="168">
        <v>790</v>
      </c>
      <c r="N219" s="169"/>
      <c r="O219" s="67" t="s">
        <v>270</v>
      </c>
    </row>
    <row r="220" spans="1:15" ht="105">
      <c r="A220" s="342">
        <v>3</v>
      </c>
      <c r="B220" s="358" t="s">
        <v>436</v>
      </c>
      <c r="C220" s="359" t="s">
        <v>269</v>
      </c>
      <c r="D220" s="167">
        <f>152+301</f>
        <v>453</v>
      </c>
      <c r="E220" s="167">
        <f t="shared" si="47"/>
        <v>453</v>
      </c>
      <c r="F220" s="168">
        <v>152</v>
      </c>
      <c r="G220" s="169">
        <f t="shared" si="48"/>
        <v>301</v>
      </c>
      <c r="H220" s="170">
        <f t="shared" si="49"/>
        <v>301</v>
      </c>
      <c r="I220" s="170"/>
      <c r="J220" s="170"/>
      <c r="K220" s="169"/>
      <c r="L220" s="169"/>
      <c r="M220" s="168">
        <f>1+500-200</f>
        <v>301</v>
      </c>
      <c r="N220" s="169"/>
      <c r="O220" s="67" t="s">
        <v>270</v>
      </c>
    </row>
    <row r="221" spans="1:15" ht="120">
      <c r="A221" s="342">
        <v>4</v>
      </c>
      <c r="B221" s="358" t="s">
        <v>437</v>
      </c>
      <c r="C221" s="359" t="s">
        <v>269</v>
      </c>
      <c r="D221" s="167">
        <f>209+3038+180</f>
        <v>3427</v>
      </c>
      <c r="E221" s="167">
        <f>D221</f>
        <v>3427</v>
      </c>
      <c r="F221" s="168">
        <f>209+3038</f>
        <v>3247</v>
      </c>
      <c r="G221" s="169">
        <f>D221-F221</f>
        <v>180</v>
      </c>
      <c r="H221" s="170">
        <f>SUM(K221:N221)</f>
        <v>180</v>
      </c>
      <c r="I221" s="170"/>
      <c r="J221" s="170"/>
      <c r="K221" s="169"/>
      <c r="L221" s="169"/>
      <c r="M221" s="168">
        <v>180</v>
      </c>
      <c r="N221" s="169"/>
      <c r="O221" s="67" t="s">
        <v>270</v>
      </c>
    </row>
    <row r="222" spans="1:15" ht="165">
      <c r="A222" s="342">
        <v>5</v>
      </c>
      <c r="B222" s="354" t="s">
        <v>438</v>
      </c>
      <c r="C222" s="195" t="s">
        <v>269</v>
      </c>
      <c r="D222" s="355">
        <v>200</v>
      </c>
      <c r="E222" s="167">
        <f>D222</f>
        <v>200</v>
      </c>
      <c r="F222" s="168">
        <v>0</v>
      </c>
      <c r="G222" s="169">
        <f>D222-F222</f>
        <v>200</v>
      </c>
      <c r="H222" s="170">
        <f>SUM(I222:N222)</f>
        <v>200</v>
      </c>
      <c r="I222" s="170">
        <v>200</v>
      </c>
      <c r="J222" s="170"/>
      <c r="K222" s="169">
        <v>0</v>
      </c>
      <c r="L222" s="169"/>
      <c r="M222" s="168">
        <v>0</v>
      </c>
      <c r="N222" s="169"/>
      <c r="O222" s="67" t="s">
        <v>270</v>
      </c>
    </row>
    <row r="223" spans="1:15" ht="60">
      <c r="A223" s="342">
        <v>6</v>
      </c>
      <c r="B223" s="354" t="s">
        <v>439</v>
      </c>
      <c r="C223" s="195" t="s">
        <v>300</v>
      </c>
      <c r="D223" s="355">
        <v>200</v>
      </c>
      <c r="E223" s="167">
        <f t="shared" si="47"/>
        <v>200</v>
      </c>
      <c r="F223" s="168">
        <v>0</v>
      </c>
      <c r="G223" s="169">
        <f t="shared" si="48"/>
        <v>200</v>
      </c>
      <c r="H223" s="170">
        <f t="shared" si="49"/>
        <v>200</v>
      </c>
      <c r="I223" s="170"/>
      <c r="J223" s="170"/>
      <c r="K223" s="169"/>
      <c r="L223" s="169"/>
      <c r="M223" s="168">
        <v>200</v>
      </c>
      <c r="N223" s="169"/>
      <c r="O223" s="67" t="s">
        <v>270</v>
      </c>
    </row>
    <row r="224" spans="1:15" ht="120" customHeight="1">
      <c r="A224" s="342">
        <v>7</v>
      </c>
      <c r="B224" s="358" t="s">
        <v>440</v>
      </c>
      <c r="C224" s="359" t="s">
        <v>300</v>
      </c>
      <c r="D224" s="167">
        <f>243+562+1277-7</f>
        <v>2075</v>
      </c>
      <c r="E224" s="167">
        <f>D224</f>
        <v>2075</v>
      </c>
      <c r="F224" s="168">
        <f>243+562</f>
        <v>805</v>
      </c>
      <c r="G224" s="169">
        <f>D224-F224</f>
        <v>1270</v>
      </c>
      <c r="H224" s="170">
        <f>SUM(K224:N224)</f>
        <v>1270</v>
      </c>
      <c r="I224" s="170"/>
      <c r="J224" s="170"/>
      <c r="K224" s="169"/>
      <c r="L224" s="169"/>
      <c r="M224" s="168">
        <f>1277-7</f>
        <v>1270</v>
      </c>
      <c r="N224" s="169"/>
      <c r="O224" s="67" t="s">
        <v>270</v>
      </c>
    </row>
    <row r="225" spans="1:15" ht="166.5" customHeight="1">
      <c r="A225" s="342">
        <v>8</v>
      </c>
      <c r="B225" s="354" t="s">
        <v>441</v>
      </c>
      <c r="C225" s="195" t="s">
        <v>300</v>
      </c>
      <c r="D225" s="355">
        <v>96</v>
      </c>
      <c r="E225" s="167">
        <f t="shared" si="47"/>
        <v>96</v>
      </c>
      <c r="F225" s="168">
        <v>0</v>
      </c>
      <c r="G225" s="169">
        <f t="shared" si="48"/>
        <v>96</v>
      </c>
      <c r="H225" s="170">
        <f t="shared" si="49"/>
        <v>96</v>
      </c>
      <c r="I225" s="170"/>
      <c r="J225" s="170"/>
      <c r="K225" s="169">
        <v>0</v>
      </c>
      <c r="L225" s="169"/>
      <c r="M225" s="168">
        <v>96</v>
      </c>
      <c r="N225" s="169"/>
      <c r="O225" s="67" t="s">
        <v>270</v>
      </c>
    </row>
    <row r="226" spans="1:15" ht="54">
      <c r="A226" s="342">
        <v>9</v>
      </c>
      <c r="B226" s="345" t="s">
        <v>442</v>
      </c>
      <c r="C226" s="281" t="s">
        <v>300</v>
      </c>
      <c r="D226" s="349">
        <v>159</v>
      </c>
      <c r="E226" s="350">
        <f t="shared" ref="E226:E231" si="50">D226</f>
        <v>159</v>
      </c>
      <c r="F226" s="351">
        <v>0</v>
      </c>
      <c r="G226" s="169">
        <f t="shared" ref="G226:G231" si="51">D226-F226</f>
        <v>159</v>
      </c>
      <c r="H226" s="170">
        <f t="shared" ref="H226:H231" si="52">SUM(K226:N226)</f>
        <v>159</v>
      </c>
      <c r="I226" s="158"/>
      <c r="J226" s="158"/>
      <c r="K226" s="351"/>
      <c r="L226" s="351"/>
      <c r="M226" s="346">
        <v>159</v>
      </c>
      <c r="N226" s="169"/>
      <c r="O226" s="67" t="s">
        <v>270</v>
      </c>
    </row>
    <row r="227" spans="1:15" ht="52.5">
      <c r="A227" s="342">
        <v>10</v>
      </c>
      <c r="B227" s="345" t="s">
        <v>443</v>
      </c>
      <c r="C227" s="281" t="s">
        <v>300</v>
      </c>
      <c r="D227" s="349">
        <v>189</v>
      </c>
      <c r="E227" s="350">
        <f t="shared" si="50"/>
        <v>189</v>
      </c>
      <c r="F227" s="351">
        <v>0</v>
      </c>
      <c r="G227" s="169">
        <f t="shared" si="51"/>
        <v>189</v>
      </c>
      <c r="H227" s="170">
        <f t="shared" si="52"/>
        <v>189</v>
      </c>
      <c r="I227" s="158"/>
      <c r="J227" s="158"/>
      <c r="K227" s="351"/>
      <c r="L227" s="351"/>
      <c r="M227" s="346">
        <v>189</v>
      </c>
      <c r="N227" s="169"/>
      <c r="O227" s="67" t="s">
        <v>270</v>
      </c>
    </row>
    <row r="228" spans="1:15" ht="138.75" customHeight="1">
      <c r="A228" s="342">
        <v>11</v>
      </c>
      <c r="B228" s="354" t="s">
        <v>444</v>
      </c>
      <c r="C228" s="195" t="s">
        <v>300</v>
      </c>
      <c r="D228" s="355">
        <v>84</v>
      </c>
      <c r="E228" s="167">
        <f t="shared" si="50"/>
        <v>84</v>
      </c>
      <c r="F228" s="168">
        <v>0</v>
      </c>
      <c r="G228" s="169">
        <f t="shared" si="51"/>
        <v>84</v>
      </c>
      <c r="H228" s="170">
        <f t="shared" si="52"/>
        <v>84</v>
      </c>
      <c r="I228" s="170"/>
      <c r="J228" s="170"/>
      <c r="K228" s="169"/>
      <c r="L228" s="169"/>
      <c r="M228" s="168">
        <v>84</v>
      </c>
      <c r="N228" s="169"/>
      <c r="O228" s="67" t="s">
        <v>270</v>
      </c>
    </row>
    <row r="229" spans="1:15" ht="52.5">
      <c r="A229" s="342">
        <v>12</v>
      </c>
      <c r="B229" s="354" t="s">
        <v>445</v>
      </c>
      <c r="C229" s="195" t="s">
        <v>300</v>
      </c>
      <c r="D229" s="355">
        <v>238</v>
      </c>
      <c r="E229" s="167">
        <f t="shared" si="50"/>
        <v>238</v>
      </c>
      <c r="F229" s="168">
        <v>0</v>
      </c>
      <c r="G229" s="169">
        <f t="shared" si="51"/>
        <v>238</v>
      </c>
      <c r="H229" s="170">
        <f t="shared" si="52"/>
        <v>238</v>
      </c>
      <c r="I229" s="170"/>
      <c r="J229" s="170"/>
      <c r="K229" s="169"/>
      <c r="L229" s="169"/>
      <c r="M229" s="168">
        <v>238</v>
      </c>
      <c r="N229" s="169"/>
      <c r="O229" s="67" t="s">
        <v>270</v>
      </c>
    </row>
    <row r="230" spans="1:15" ht="60">
      <c r="A230" s="342">
        <v>13</v>
      </c>
      <c r="B230" s="354" t="s">
        <v>446</v>
      </c>
      <c r="C230" s="195" t="s">
        <v>300</v>
      </c>
      <c r="D230" s="355">
        <v>100</v>
      </c>
      <c r="E230" s="167">
        <f t="shared" si="50"/>
        <v>100</v>
      </c>
      <c r="F230" s="168">
        <v>0</v>
      </c>
      <c r="G230" s="169">
        <f t="shared" si="51"/>
        <v>100</v>
      </c>
      <c r="H230" s="170">
        <f t="shared" si="52"/>
        <v>100</v>
      </c>
      <c r="I230" s="168">
        <v>0</v>
      </c>
      <c r="J230" s="170"/>
      <c r="K230" s="169">
        <v>0</v>
      </c>
      <c r="L230" s="169"/>
      <c r="M230" s="168">
        <v>100</v>
      </c>
      <c r="N230" s="169"/>
      <c r="O230" s="67" t="s">
        <v>270</v>
      </c>
    </row>
    <row r="231" spans="1:15" ht="120">
      <c r="A231" s="342">
        <v>14</v>
      </c>
      <c r="B231" s="354" t="s">
        <v>447</v>
      </c>
      <c r="C231" s="195" t="s">
        <v>300</v>
      </c>
      <c r="D231" s="355">
        <v>200</v>
      </c>
      <c r="E231" s="167">
        <f t="shared" si="50"/>
        <v>200</v>
      </c>
      <c r="F231" s="168">
        <v>0</v>
      </c>
      <c r="G231" s="169">
        <f t="shared" si="51"/>
        <v>200</v>
      </c>
      <c r="H231" s="170">
        <f t="shared" si="52"/>
        <v>200</v>
      </c>
      <c r="I231" s="168">
        <v>0</v>
      </c>
      <c r="J231" s="170"/>
      <c r="K231" s="169">
        <v>0</v>
      </c>
      <c r="L231" s="169"/>
      <c r="M231" s="168">
        <v>200</v>
      </c>
      <c r="N231" s="169"/>
      <c r="O231" s="67" t="s">
        <v>270</v>
      </c>
    </row>
    <row r="232" spans="1:15" ht="20.25" customHeight="1">
      <c r="A232" s="156"/>
      <c r="B232" s="71"/>
      <c r="C232" s="157" t="s">
        <v>304</v>
      </c>
      <c r="D232" s="158">
        <f t="shared" ref="D232:N232" si="53">SUM(D218:D231)</f>
        <v>12529</v>
      </c>
      <c r="E232" s="158">
        <f t="shared" si="53"/>
        <v>12529</v>
      </c>
      <c r="F232" s="158">
        <f t="shared" si="53"/>
        <v>4366</v>
      </c>
      <c r="G232" s="158">
        <f t="shared" si="53"/>
        <v>8163</v>
      </c>
      <c r="H232" s="158">
        <f t="shared" si="53"/>
        <v>8163</v>
      </c>
      <c r="I232" s="158">
        <f t="shared" si="53"/>
        <v>200</v>
      </c>
      <c r="J232" s="158">
        <f t="shared" si="53"/>
        <v>0</v>
      </c>
      <c r="K232" s="158">
        <f t="shared" si="53"/>
        <v>0</v>
      </c>
      <c r="L232" s="158">
        <f t="shared" si="53"/>
        <v>0</v>
      </c>
      <c r="M232" s="158">
        <f t="shared" si="53"/>
        <v>7963</v>
      </c>
      <c r="N232" s="158">
        <f t="shared" si="53"/>
        <v>0</v>
      </c>
      <c r="O232" s="159"/>
    </row>
    <row r="233" spans="1:15" ht="13.5">
      <c r="A233" s="288"/>
      <c r="B233" s="383"/>
      <c r="C233" s="318"/>
      <c r="D233" s="294"/>
      <c r="E233" s="294"/>
      <c r="F233" s="294"/>
      <c r="G233" s="294"/>
      <c r="H233" s="294"/>
      <c r="I233" s="294"/>
      <c r="J233" s="294"/>
      <c r="K233" s="294"/>
      <c r="L233" s="294"/>
      <c r="M233" s="294"/>
      <c r="N233" s="294"/>
      <c r="O233" s="319"/>
    </row>
    <row r="234" spans="1:15" ht="15.75">
      <c r="A234" s="321"/>
      <c r="B234" s="322"/>
      <c r="C234" s="323"/>
      <c r="D234" s="324" t="s">
        <v>244</v>
      </c>
      <c r="E234" s="324"/>
      <c r="F234" s="322"/>
      <c r="G234" s="290"/>
      <c r="H234" s="290"/>
      <c r="I234" s="290"/>
      <c r="J234" s="290"/>
      <c r="K234" s="290"/>
      <c r="L234" s="290"/>
      <c r="M234" s="322"/>
      <c r="N234" s="290"/>
      <c r="O234" s="325"/>
    </row>
    <row r="235" spans="1:15" ht="15.75">
      <c r="A235" s="326"/>
      <c r="B235" s="292" t="s">
        <v>243</v>
      </c>
      <c r="C235" s="323"/>
      <c r="D235" s="298"/>
      <c r="E235" s="298"/>
      <c r="F235" s="299"/>
      <c r="G235" s="322"/>
      <c r="H235" s="286"/>
      <c r="I235" s="291"/>
      <c r="J235" s="298"/>
      <c r="K235" s="322"/>
      <c r="L235" s="308" t="s">
        <v>245</v>
      </c>
      <c r="M235" s="322"/>
      <c r="N235" s="298"/>
      <c r="O235" s="325"/>
    </row>
    <row r="236" spans="1:15" ht="15.75">
      <c r="A236" s="293"/>
      <c r="B236" s="292" t="s">
        <v>246</v>
      </c>
      <c r="C236" s="323"/>
      <c r="D236" s="299"/>
      <c r="E236" s="299"/>
      <c r="F236" s="322"/>
      <c r="G236" s="303" t="s">
        <v>248</v>
      </c>
      <c r="H236" s="286"/>
      <c r="I236" s="291"/>
      <c r="J236" s="299"/>
      <c r="K236" s="322"/>
      <c r="L236" s="302" t="s">
        <v>247</v>
      </c>
      <c r="M236" s="291"/>
      <c r="N236" s="299"/>
      <c r="O236" s="299"/>
    </row>
    <row r="237" spans="1:15" ht="15.75">
      <c r="A237" s="293"/>
      <c r="B237" s="302" t="s">
        <v>249</v>
      </c>
      <c r="C237" s="309"/>
      <c r="D237" s="299"/>
      <c r="E237" s="299"/>
      <c r="F237" s="322"/>
      <c r="G237" s="303" t="s">
        <v>250</v>
      </c>
      <c r="H237" s="302"/>
      <c r="I237" s="291"/>
      <c r="J237" s="299"/>
      <c r="K237" s="322"/>
      <c r="L237" s="302"/>
      <c r="M237" s="302" t="s">
        <v>251</v>
      </c>
      <c r="N237" s="299"/>
      <c r="O237" s="299"/>
    </row>
    <row r="238" spans="1:15" ht="15.75">
      <c r="A238" s="327"/>
      <c r="B238" s="302" t="s">
        <v>252</v>
      </c>
      <c r="C238" s="299"/>
      <c r="D238" s="299"/>
      <c r="E238" s="299"/>
      <c r="F238" s="306"/>
      <c r="G238" s="307" t="s">
        <v>253</v>
      </c>
      <c r="H238" s="297"/>
      <c r="I238" s="308"/>
      <c r="J238" s="299"/>
      <c r="K238" s="322"/>
      <c r="L238" s="322"/>
      <c r="M238" s="302" t="s">
        <v>254</v>
      </c>
      <c r="N238" s="308"/>
      <c r="O238" s="297" t="s">
        <v>448</v>
      </c>
    </row>
    <row r="239" spans="1:15" ht="15.75">
      <c r="A239" s="327"/>
      <c r="B239" s="302"/>
      <c r="C239" s="302"/>
      <c r="D239" s="309"/>
      <c r="E239" s="309"/>
      <c r="F239" s="302"/>
      <c r="G239" s="297"/>
      <c r="H239" s="302"/>
      <c r="I239" s="302"/>
      <c r="J239" s="302"/>
      <c r="K239" s="306"/>
      <c r="L239" s="299"/>
      <c r="M239" s="302"/>
      <c r="N239" s="302"/>
      <c r="O239" s="297"/>
    </row>
    <row r="240" spans="1:15" ht="15">
      <c r="A240" s="378"/>
      <c r="B240" s="378"/>
      <c r="C240" s="378"/>
      <c r="D240" s="378"/>
      <c r="E240" s="378"/>
      <c r="F240" s="378"/>
      <c r="G240" s="379"/>
      <c r="H240" s="378"/>
      <c r="I240" s="378"/>
      <c r="J240" s="378"/>
      <c r="K240" s="378"/>
      <c r="L240" s="378"/>
      <c r="M240" s="378"/>
      <c r="N240" s="380"/>
      <c r="O240" s="381"/>
    </row>
    <row r="241" spans="1:15" ht="13.5">
      <c r="A241" s="377"/>
      <c r="B241" s="377"/>
      <c r="C241" s="377"/>
      <c r="D241" s="377"/>
      <c r="E241" s="377"/>
      <c r="F241" s="377"/>
      <c r="G241" s="377"/>
      <c r="H241" s="377"/>
      <c r="I241" s="377"/>
      <c r="J241" s="377"/>
      <c r="K241" s="377"/>
      <c r="L241" s="382"/>
      <c r="M241" s="379"/>
      <c r="N241" s="377"/>
      <c r="O241" s="377"/>
    </row>
    <row r="242" spans="1:15" ht="13.5">
      <c r="B242" s="147"/>
      <c r="C242" s="3"/>
      <c r="L242" s="78"/>
      <c r="O242" s="3"/>
    </row>
    <row r="243" spans="1:15" ht="13.5">
      <c r="A243" s="6"/>
      <c r="C243" s="6"/>
      <c r="D243" s="6"/>
      <c r="E243" s="6"/>
      <c r="F243" s="6"/>
      <c r="G243" s="6"/>
      <c r="H243" s="6"/>
      <c r="I243" s="6"/>
      <c r="J243" s="6"/>
      <c r="K243" s="78"/>
      <c r="L243" s="78"/>
      <c r="M243" s="6"/>
      <c r="N243" s="6"/>
      <c r="O243" s="6"/>
    </row>
    <row r="244" spans="1:15" ht="13.5">
      <c r="A244" s="6"/>
      <c r="C244" s="6"/>
      <c r="D244" s="6"/>
      <c r="E244" s="6"/>
      <c r="F244" s="6"/>
      <c r="G244" s="6"/>
      <c r="H244" s="6"/>
      <c r="I244" s="6"/>
      <c r="J244" s="6"/>
      <c r="K244" s="78"/>
      <c r="L244" s="78"/>
      <c r="M244" s="6"/>
      <c r="N244" s="6"/>
      <c r="O244" s="6"/>
    </row>
    <row r="245" spans="1:15" ht="13.5">
      <c r="A245" s="6"/>
      <c r="B245" s="6"/>
      <c r="C245" s="6"/>
      <c r="D245" s="6"/>
      <c r="E245" s="6"/>
      <c r="F245" s="6"/>
      <c r="G245" s="6"/>
      <c r="H245" s="6"/>
      <c r="I245" s="6"/>
      <c r="J245" s="6"/>
      <c r="K245" s="78"/>
      <c r="L245" s="78"/>
      <c r="M245" s="6"/>
      <c r="N245" s="6"/>
      <c r="O245" s="6"/>
    </row>
  </sheetData>
  <mergeCells count="2">
    <mergeCell ref="A7:N7"/>
    <mergeCell ref="A107:B107"/>
  </mergeCells>
  <phoneticPr fontId="4" type="noConversion"/>
  <pageMargins left="0.51181102362204722" right="0.39370078740157483" top="0.39370078740157483" bottom="0.78740157480314965" header="0.31496062992125984" footer="0.39370078740157483"/>
  <pageSetup paperSize="9" scale="89" orientation="landscape" r:id="rId1"/>
  <headerFooter alignWithMargins="0">
    <oddFooter xml:space="preserve">&amp;C&amp;8 Pagina &amp;P din &amp;N&amp;R&amp;8(L1) HCL nr.  din 
Studii și proiecte ANEXA 3 </oddFooter>
  </headerFooter>
  <rowBreaks count="1" manualBreakCount="1">
    <brk id="227" max="14" man="1"/>
  </rowBreaks>
  <ignoredErrors>
    <ignoredError sqref="H7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O172"/>
  <sheetViews>
    <sheetView view="pageBreakPreview" topLeftCell="A148" zoomScaleNormal="115" zoomScaleSheetLayoutView="100" workbookViewId="0">
      <selection activeCell="C93" sqref="C93"/>
    </sheetView>
  </sheetViews>
  <sheetFormatPr defaultRowHeight="13.5"/>
  <cols>
    <col min="1" max="1" width="3.85546875" style="6" customWidth="1"/>
    <col min="2" max="2" width="34.85546875" style="6" customWidth="1"/>
    <col min="3" max="3" width="13" style="6" customWidth="1"/>
    <col min="4" max="4" width="7.5703125" style="6" customWidth="1"/>
    <col min="5" max="5" width="9.140625" style="6" customWidth="1"/>
    <col min="6" max="6" width="8.140625" style="6" customWidth="1"/>
    <col min="7" max="7" width="7.5703125" style="6" customWidth="1"/>
    <col min="8" max="8" width="7.85546875" style="78" customWidth="1"/>
    <col min="9" max="9" width="7.42578125" style="78" customWidth="1"/>
    <col min="10" max="10" width="5.7109375" style="78" customWidth="1"/>
    <col min="11" max="11" width="7.140625" style="6" customWidth="1"/>
    <col min="12" max="12" width="7.5703125" style="6" customWidth="1"/>
    <col min="13" max="13" width="6.5703125" style="6" customWidth="1"/>
    <col min="14" max="14" width="5.7109375" style="6" customWidth="1"/>
    <col min="15" max="15" width="5.7109375" style="82" customWidth="1"/>
    <col min="16" max="16384" width="9.140625" style="6"/>
  </cols>
  <sheetData>
    <row r="1" spans="1:15" ht="9" customHeight="1">
      <c r="F1" s="3"/>
      <c r="G1" s="75"/>
      <c r="H1" s="248"/>
      <c r="I1" s="249"/>
      <c r="J1" s="249"/>
      <c r="K1" s="248"/>
      <c r="L1" s="79"/>
      <c r="M1" s="79"/>
      <c r="N1" s="79" t="s">
        <v>255</v>
      </c>
      <c r="O1" s="80"/>
    </row>
    <row r="2" spans="1:15" ht="15">
      <c r="B2" s="81"/>
      <c r="D2" s="294"/>
      <c r="E2" s="294"/>
      <c r="F2" s="314" t="s">
        <v>3</v>
      </c>
      <c r="G2" s="314" t="s">
        <v>4</v>
      </c>
      <c r="H2" s="314"/>
      <c r="I2" s="314"/>
      <c r="J2" s="314"/>
      <c r="K2" s="314" t="s">
        <v>5</v>
      </c>
      <c r="L2" s="314"/>
      <c r="M2" s="201"/>
    </row>
    <row r="3" spans="1:15" ht="15">
      <c r="A3" s="9"/>
      <c r="B3" s="78"/>
      <c r="D3" s="294"/>
      <c r="E3" s="294"/>
      <c r="F3" s="314" t="s">
        <v>7</v>
      </c>
      <c r="G3" s="315"/>
      <c r="H3" s="314"/>
      <c r="I3" s="314"/>
      <c r="J3" s="314"/>
      <c r="K3" s="314" t="s">
        <v>8</v>
      </c>
      <c r="L3" s="314"/>
      <c r="M3" s="129"/>
    </row>
    <row r="4" spans="1:15" ht="15">
      <c r="D4" s="294"/>
      <c r="E4" s="316"/>
      <c r="F4" s="314" t="s">
        <v>10</v>
      </c>
      <c r="G4" s="313"/>
      <c r="H4" s="313"/>
      <c r="I4" s="313"/>
      <c r="J4" s="312"/>
      <c r="K4" s="314" t="s">
        <v>11</v>
      </c>
      <c r="L4" s="314"/>
      <c r="M4" s="129"/>
    </row>
    <row r="5" spans="1:15" ht="15">
      <c r="D5" s="294"/>
      <c r="E5" s="294"/>
      <c r="F5" s="317" t="s">
        <v>13</v>
      </c>
      <c r="G5" s="294"/>
      <c r="H5" s="313"/>
      <c r="I5" s="294"/>
      <c r="J5" s="318"/>
      <c r="K5" s="319"/>
      <c r="L5" s="320"/>
      <c r="M5" s="129"/>
    </row>
    <row r="6" spans="1:15" ht="12.75" customHeight="1">
      <c r="B6" s="6" t="s">
        <v>449</v>
      </c>
      <c r="D6" s="294"/>
      <c r="E6" s="294"/>
      <c r="F6" s="294"/>
      <c r="G6" s="294"/>
      <c r="H6" s="313"/>
      <c r="I6" s="294"/>
      <c r="J6" s="318"/>
      <c r="K6" s="294"/>
      <c r="L6" s="320"/>
      <c r="M6" s="129"/>
    </row>
    <row r="7" spans="1:15" ht="12.75" customHeight="1">
      <c r="H7" s="129"/>
      <c r="I7" s="6"/>
      <c r="L7" s="201"/>
      <c r="M7" s="129"/>
    </row>
    <row r="8" spans="1:15" ht="16.5" customHeight="1">
      <c r="H8" s="129"/>
      <c r="I8" s="6"/>
      <c r="L8" s="201"/>
      <c r="M8" s="129"/>
    </row>
    <row r="9" spans="1:15" ht="16.5" customHeight="1">
      <c r="A9" s="389" t="s">
        <v>450</v>
      </c>
      <c r="B9" s="389"/>
      <c r="C9" s="389"/>
      <c r="D9" s="389"/>
      <c r="E9" s="389"/>
      <c r="F9" s="389"/>
      <c r="G9" s="389"/>
      <c r="H9" s="389"/>
      <c r="I9" s="389"/>
      <c r="J9" s="389"/>
      <c r="K9" s="389"/>
      <c r="L9" s="389"/>
      <c r="M9" s="389"/>
      <c r="N9" s="389"/>
      <c r="O9" s="389"/>
    </row>
    <row r="10" spans="1:15" ht="16.5" customHeight="1">
      <c r="A10" s="374"/>
      <c r="B10" s="374"/>
      <c r="C10" s="374"/>
      <c r="D10" s="374"/>
      <c r="E10" s="374"/>
      <c r="F10" s="374"/>
      <c r="G10" s="374"/>
      <c r="H10" s="374"/>
      <c r="I10" s="374"/>
      <c r="J10" s="374"/>
      <c r="K10" s="374"/>
      <c r="L10" s="374"/>
      <c r="M10" s="374"/>
      <c r="N10" s="374"/>
      <c r="O10" s="374"/>
    </row>
    <row r="11" spans="1:15" ht="25.5" customHeight="1" thickBot="1">
      <c r="A11" s="70" t="s">
        <v>451</v>
      </c>
      <c r="B11" s="4"/>
      <c r="C11" s="83"/>
      <c r="D11" s="374"/>
      <c r="E11" s="374"/>
      <c r="F11" s="374"/>
      <c r="G11" s="374"/>
      <c r="H11" s="374"/>
      <c r="I11" s="374"/>
      <c r="J11" s="374"/>
      <c r="K11" s="374"/>
      <c r="L11" s="374"/>
      <c r="M11" s="374"/>
      <c r="N11" s="85" t="s">
        <v>41</v>
      </c>
      <c r="O11" s="84"/>
    </row>
    <row r="12" spans="1:15" ht="48.75" thickBot="1">
      <c r="A12" s="185" t="s">
        <v>259</v>
      </c>
      <c r="B12" s="186" t="s">
        <v>260</v>
      </c>
      <c r="C12" s="187" t="s">
        <v>261</v>
      </c>
      <c r="D12" s="186" t="s">
        <v>262</v>
      </c>
      <c r="E12" s="188" t="s">
        <v>263</v>
      </c>
      <c r="F12" s="189" t="s">
        <v>264</v>
      </c>
      <c r="G12" s="189" t="s">
        <v>265</v>
      </c>
      <c r="H12" s="189" t="s">
        <v>266</v>
      </c>
      <c r="I12" s="86" t="s">
        <v>24</v>
      </c>
      <c r="J12" s="87" t="s">
        <v>25</v>
      </c>
      <c r="K12" s="190" t="s">
        <v>26</v>
      </c>
      <c r="L12" s="189" t="s">
        <v>27</v>
      </c>
      <c r="M12" s="189" t="s">
        <v>28</v>
      </c>
      <c r="N12" s="191" t="s">
        <v>267</v>
      </c>
      <c r="O12" s="84"/>
    </row>
    <row r="13" spans="1:15" ht="65.25" customHeight="1">
      <c r="A13" s="284">
        <v>1</v>
      </c>
      <c r="B13" s="133" t="s">
        <v>452</v>
      </c>
      <c r="C13" s="195" t="s">
        <v>269</v>
      </c>
      <c r="D13" s="89">
        <v>5</v>
      </c>
      <c r="E13" s="89">
        <f t="shared" ref="E13:E23" si="0">D13</f>
        <v>5</v>
      </c>
      <c r="F13" s="89">
        <v>0</v>
      </c>
      <c r="G13" s="89">
        <f t="shared" ref="G13:G21" si="1">E13-F13</f>
        <v>5</v>
      </c>
      <c r="H13" s="90">
        <f>SUM(I13:N13)</f>
        <v>5</v>
      </c>
      <c r="I13" s="91">
        <v>5</v>
      </c>
      <c r="J13" s="91"/>
      <c r="K13" s="91">
        <v>0</v>
      </c>
      <c r="L13" s="283"/>
      <c r="M13" s="91">
        <v>0</v>
      </c>
      <c r="N13" s="91"/>
      <c r="O13" s="246" t="s">
        <v>453</v>
      </c>
    </row>
    <row r="14" spans="1:15" ht="65.25" customHeight="1">
      <c r="A14" s="284">
        <v>2</v>
      </c>
      <c r="B14" s="133" t="s">
        <v>454</v>
      </c>
      <c r="C14" s="195" t="s">
        <v>269</v>
      </c>
      <c r="D14" s="89">
        <v>6</v>
      </c>
      <c r="E14" s="89">
        <f>D14</f>
        <v>6</v>
      </c>
      <c r="F14" s="89">
        <v>0</v>
      </c>
      <c r="G14" s="89">
        <f t="shared" si="1"/>
        <v>6</v>
      </c>
      <c r="H14" s="90">
        <f>SUM(I14:N14)</f>
        <v>6</v>
      </c>
      <c r="I14" s="91">
        <v>6</v>
      </c>
      <c r="J14" s="91"/>
      <c r="K14" s="91"/>
      <c r="L14" s="283"/>
      <c r="M14" s="91"/>
      <c r="N14" s="91"/>
      <c r="O14" s="246" t="s">
        <v>453</v>
      </c>
    </row>
    <row r="15" spans="1:15" ht="65.25" customHeight="1">
      <c r="A15" s="284">
        <v>3</v>
      </c>
      <c r="B15" s="133" t="s">
        <v>455</v>
      </c>
      <c r="C15" s="195" t="s">
        <v>269</v>
      </c>
      <c r="D15" s="89">
        <v>5</v>
      </c>
      <c r="E15" s="89">
        <f>D15</f>
        <v>5</v>
      </c>
      <c r="F15" s="89">
        <v>0</v>
      </c>
      <c r="G15" s="89">
        <f t="shared" si="1"/>
        <v>5</v>
      </c>
      <c r="H15" s="90">
        <f>SUM(I15:N15)</f>
        <v>5</v>
      </c>
      <c r="I15" s="91">
        <v>5</v>
      </c>
      <c r="J15" s="91"/>
      <c r="K15" s="91"/>
      <c r="L15" s="283"/>
      <c r="M15" s="91"/>
      <c r="N15" s="91"/>
      <c r="O15" s="246" t="s">
        <v>453</v>
      </c>
    </row>
    <row r="16" spans="1:15" ht="65.25" customHeight="1">
      <c r="A16" s="284">
        <v>4</v>
      </c>
      <c r="B16" s="133" t="s">
        <v>456</v>
      </c>
      <c r="C16" s="195" t="s">
        <v>269</v>
      </c>
      <c r="D16" s="89">
        <v>5</v>
      </c>
      <c r="E16" s="89">
        <f>D16</f>
        <v>5</v>
      </c>
      <c r="F16" s="89">
        <v>0</v>
      </c>
      <c r="G16" s="89">
        <f t="shared" si="1"/>
        <v>5</v>
      </c>
      <c r="H16" s="90">
        <f>SUM(I16:N16)</f>
        <v>5</v>
      </c>
      <c r="I16" s="91">
        <v>5</v>
      </c>
      <c r="J16" s="91"/>
      <c r="K16" s="91"/>
      <c r="L16" s="283"/>
      <c r="M16" s="91"/>
      <c r="N16" s="91"/>
      <c r="O16" s="246" t="s">
        <v>453</v>
      </c>
    </row>
    <row r="17" spans="1:15" ht="65.25" customHeight="1">
      <c r="A17" s="284">
        <v>5</v>
      </c>
      <c r="B17" s="133" t="s">
        <v>457</v>
      </c>
      <c r="C17" s="195" t="s">
        <v>269</v>
      </c>
      <c r="D17" s="89">
        <v>5</v>
      </c>
      <c r="E17" s="89">
        <f>D17</f>
        <v>5</v>
      </c>
      <c r="F17" s="89">
        <v>0</v>
      </c>
      <c r="G17" s="89">
        <f t="shared" si="1"/>
        <v>5</v>
      </c>
      <c r="H17" s="90">
        <f>SUM(I17:N17)</f>
        <v>5</v>
      </c>
      <c r="I17" s="91">
        <v>5</v>
      </c>
      <c r="J17" s="91"/>
      <c r="K17" s="91"/>
      <c r="L17" s="283"/>
      <c r="M17" s="91"/>
      <c r="N17" s="91"/>
      <c r="O17" s="246" t="s">
        <v>453</v>
      </c>
    </row>
    <row r="18" spans="1:15" ht="42">
      <c r="A18" s="284">
        <v>6</v>
      </c>
      <c r="B18" s="133" t="s">
        <v>458</v>
      </c>
      <c r="C18" s="195" t="s">
        <v>459</v>
      </c>
      <c r="D18" s="89">
        <v>53</v>
      </c>
      <c r="E18" s="89">
        <f t="shared" si="0"/>
        <v>53</v>
      </c>
      <c r="F18" s="89">
        <v>0</v>
      </c>
      <c r="G18" s="89">
        <f t="shared" si="1"/>
        <v>53</v>
      </c>
      <c r="H18" s="90">
        <f>SUM(J18:N18)</f>
        <v>53</v>
      </c>
      <c r="I18" s="91"/>
      <c r="J18" s="91"/>
      <c r="K18" s="91">
        <v>0</v>
      </c>
      <c r="L18" s="283"/>
      <c r="M18" s="91">
        <v>53</v>
      </c>
      <c r="N18" s="91"/>
      <c r="O18" s="246" t="s">
        <v>453</v>
      </c>
    </row>
    <row r="19" spans="1:15" ht="55.5" customHeight="1">
      <c r="A19" s="284">
        <v>7</v>
      </c>
      <c r="B19" s="132" t="s">
        <v>460</v>
      </c>
      <c r="C19" s="195" t="s">
        <v>461</v>
      </c>
      <c r="D19" s="89">
        <v>10</v>
      </c>
      <c r="E19" s="89">
        <f t="shared" si="0"/>
        <v>10</v>
      </c>
      <c r="F19" s="89">
        <v>0</v>
      </c>
      <c r="G19" s="89">
        <f t="shared" si="1"/>
        <v>10</v>
      </c>
      <c r="H19" s="90">
        <f>SUM(I19:N19)</f>
        <v>10</v>
      </c>
      <c r="I19" s="91"/>
      <c r="J19" s="91"/>
      <c r="K19" s="257"/>
      <c r="L19" s="258"/>
      <c r="M19" s="259">
        <v>10</v>
      </c>
      <c r="N19" s="257"/>
      <c r="O19" s="246" t="s">
        <v>462</v>
      </c>
    </row>
    <row r="20" spans="1:15" ht="48" customHeight="1">
      <c r="A20" s="284">
        <v>8</v>
      </c>
      <c r="B20" s="132" t="s">
        <v>463</v>
      </c>
      <c r="C20" s="281" t="s">
        <v>289</v>
      </c>
      <c r="D20" s="89">
        <v>200</v>
      </c>
      <c r="E20" s="89">
        <f t="shared" si="0"/>
        <v>200</v>
      </c>
      <c r="F20" s="89">
        <v>0</v>
      </c>
      <c r="G20" s="89">
        <f t="shared" si="1"/>
        <v>200</v>
      </c>
      <c r="H20" s="90">
        <f>SUM(I20:N20)</f>
        <v>200</v>
      </c>
      <c r="I20" s="91"/>
      <c r="J20" s="91"/>
      <c r="K20" s="257"/>
      <c r="L20" s="258"/>
      <c r="M20" s="259">
        <v>200</v>
      </c>
      <c r="N20" s="257"/>
      <c r="O20" s="246" t="s">
        <v>462</v>
      </c>
    </row>
    <row r="21" spans="1:15" ht="56.25" customHeight="1">
      <c r="A21" s="284">
        <v>9</v>
      </c>
      <c r="B21" s="132" t="s">
        <v>464</v>
      </c>
      <c r="C21" s="281" t="s">
        <v>300</v>
      </c>
      <c r="D21" s="89">
        <f>19+294</f>
        <v>313</v>
      </c>
      <c r="E21" s="89">
        <f t="shared" si="0"/>
        <v>313</v>
      </c>
      <c r="F21" s="89">
        <v>0</v>
      </c>
      <c r="G21" s="89">
        <f t="shared" si="1"/>
        <v>313</v>
      </c>
      <c r="H21" s="90">
        <f>SUM(I21:N21)</f>
        <v>313</v>
      </c>
      <c r="I21" s="91"/>
      <c r="J21" s="91"/>
      <c r="K21" s="257"/>
      <c r="L21" s="258"/>
      <c r="M21" s="259">
        <f>19+294</f>
        <v>313</v>
      </c>
      <c r="N21" s="257"/>
      <c r="O21" s="246" t="s">
        <v>462</v>
      </c>
    </row>
    <row r="22" spans="1:15" ht="63.75" customHeight="1">
      <c r="A22" s="284">
        <v>10</v>
      </c>
      <c r="B22" s="343" t="s">
        <v>465</v>
      </c>
      <c r="C22" s="281" t="s">
        <v>300</v>
      </c>
      <c r="D22" s="167">
        <f>160+350</f>
        <v>510</v>
      </c>
      <c r="E22" s="344">
        <f t="shared" si="0"/>
        <v>510</v>
      </c>
      <c r="F22" s="168">
        <v>0</v>
      </c>
      <c r="G22" s="169">
        <f>D22-F22</f>
        <v>510</v>
      </c>
      <c r="H22" s="170">
        <f>SUM(K22:N22)</f>
        <v>510</v>
      </c>
      <c r="I22" s="170"/>
      <c r="J22" s="170"/>
      <c r="K22" s="169"/>
      <c r="L22" s="169"/>
      <c r="M22" s="168">
        <f>160+350</f>
        <v>510</v>
      </c>
      <c r="N22" s="169"/>
      <c r="O22" s="67" t="s">
        <v>270</v>
      </c>
    </row>
    <row r="23" spans="1:15" ht="45" customHeight="1">
      <c r="A23" s="284">
        <v>11</v>
      </c>
      <c r="B23" s="343" t="s">
        <v>466</v>
      </c>
      <c r="C23" s="281" t="s">
        <v>300</v>
      </c>
      <c r="D23" s="167">
        <v>145</v>
      </c>
      <c r="E23" s="344">
        <f t="shared" si="0"/>
        <v>145</v>
      </c>
      <c r="F23" s="168">
        <v>0</v>
      </c>
      <c r="G23" s="169">
        <f>D23-F23</f>
        <v>145</v>
      </c>
      <c r="H23" s="170">
        <f>SUM(K23:N23)</f>
        <v>145</v>
      </c>
      <c r="I23" s="170"/>
      <c r="J23" s="170"/>
      <c r="K23" s="169"/>
      <c r="L23" s="169"/>
      <c r="M23" s="168">
        <v>145</v>
      </c>
      <c r="N23" s="169"/>
      <c r="O23" s="67" t="s">
        <v>270</v>
      </c>
    </row>
    <row r="24" spans="1:15" ht="23.25" customHeight="1">
      <c r="A24" s="78"/>
      <c r="B24" s="92"/>
      <c r="C24" s="78" t="s">
        <v>304</v>
      </c>
      <c r="D24" s="93">
        <f>SUM(D13:D23)</f>
        <v>1257</v>
      </c>
      <c r="E24" s="93">
        <f t="shared" ref="E24:N24" si="2">SUM(E13:E23)</f>
        <v>1257</v>
      </c>
      <c r="F24" s="93">
        <f t="shared" si="2"/>
        <v>0</v>
      </c>
      <c r="G24" s="93">
        <f t="shared" si="2"/>
        <v>1257</v>
      </c>
      <c r="H24" s="93">
        <f t="shared" si="2"/>
        <v>1257</v>
      </c>
      <c r="I24" s="93">
        <f t="shared" si="2"/>
        <v>26</v>
      </c>
      <c r="J24" s="93">
        <f t="shared" si="2"/>
        <v>0</v>
      </c>
      <c r="K24" s="93">
        <f t="shared" si="2"/>
        <v>0</v>
      </c>
      <c r="L24" s="93">
        <f t="shared" si="2"/>
        <v>0</v>
      </c>
      <c r="M24" s="93">
        <f t="shared" si="2"/>
        <v>1231</v>
      </c>
      <c r="N24" s="93">
        <f t="shared" si="2"/>
        <v>0</v>
      </c>
      <c r="O24" s="94"/>
    </row>
    <row r="25" spans="1:15" ht="23.25" customHeight="1">
      <c r="A25" s="78"/>
      <c r="B25" s="92"/>
      <c r="C25" s="78"/>
      <c r="D25" s="9"/>
      <c r="E25" s="9"/>
      <c r="F25" s="9"/>
      <c r="G25" s="9"/>
      <c r="H25" s="9"/>
      <c r="I25" s="9"/>
      <c r="J25" s="9"/>
      <c r="K25" s="9"/>
      <c r="L25" s="9"/>
      <c r="M25" s="9"/>
      <c r="N25" s="9"/>
      <c r="O25" s="94"/>
    </row>
    <row r="26" spans="1:15" ht="23.25" customHeight="1">
      <c r="A26" s="78"/>
      <c r="B26" s="92"/>
      <c r="C26" s="78"/>
      <c r="D26" s="9"/>
      <c r="E26" s="9"/>
      <c r="F26" s="9"/>
      <c r="G26" s="9"/>
      <c r="H26" s="9"/>
      <c r="I26" s="9"/>
      <c r="J26" s="9"/>
      <c r="K26" s="9"/>
      <c r="L26" s="9"/>
      <c r="M26" s="9"/>
      <c r="N26" s="9"/>
      <c r="O26" s="94"/>
    </row>
    <row r="27" spans="1:15" ht="12.75" customHeight="1">
      <c r="A27" s="78"/>
      <c r="B27" s="92"/>
      <c r="C27" s="78"/>
      <c r="D27" s="9"/>
      <c r="E27" s="9"/>
      <c r="F27" s="9"/>
      <c r="G27" s="9"/>
      <c r="H27" s="9"/>
      <c r="I27" s="9"/>
      <c r="J27" s="9"/>
      <c r="K27" s="9"/>
      <c r="L27" s="9"/>
      <c r="M27" s="9"/>
      <c r="N27" s="9"/>
      <c r="O27" s="94"/>
    </row>
    <row r="28" spans="1:15" ht="12.75" customHeight="1">
      <c r="A28" s="78"/>
      <c r="B28" s="92"/>
      <c r="C28" s="78"/>
      <c r="D28" s="9"/>
      <c r="E28" s="9"/>
      <c r="F28" s="9"/>
      <c r="G28" s="9"/>
      <c r="H28" s="9"/>
      <c r="I28" s="9"/>
      <c r="J28" s="9"/>
      <c r="K28" s="9"/>
      <c r="L28" s="9"/>
      <c r="M28" s="9"/>
      <c r="N28" s="9"/>
      <c r="O28" s="94"/>
    </row>
    <row r="29" spans="1:15" ht="28.5" customHeight="1" thickBot="1">
      <c r="A29" s="203" t="s">
        <v>467</v>
      </c>
      <c r="B29" s="92"/>
      <c r="C29" s="78"/>
      <c r="D29" s="9"/>
      <c r="E29" s="9"/>
      <c r="F29" s="9"/>
      <c r="G29" s="9"/>
      <c r="H29" s="9"/>
      <c r="I29" s="9"/>
      <c r="J29" s="9"/>
      <c r="K29" s="9"/>
      <c r="L29" s="9"/>
      <c r="M29" s="9"/>
      <c r="N29" s="85" t="s">
        <v>41</v>
      </c>
      <c r="O29" s="94"/>
    </row>
    <row r="30" spans="1:15" ht="57" customHeight="1" thickBot="1">
      <c r="A30" s="185" t="s">
        <v>259</v>
      </c>
      <c r="B30" s="186" t="s">
        <v>260</v>
      </c>
      <c r="C30" s="187" t="s">
        <v>261</v>
      </c>
      <c r="D30" s="186" t="s">
        <v>262</v>
      </c>
      <c r="E30" s="188" t="s">
        <v>263</v>
      </c>
      <c r="F30" s="189" t="s">
        <v>264</v>
      </c>
      <c r="G30" s="189" t="s">
        <v>265</v>
      </c>
      <c r="H30" s="189" t="s">
        <v>266</v>
      </c>
      <c r="I30" s="86" t="s">
        <v>24</v>
      </c>
      <c r="J30" s="87" t="s">
        <v>25</v>
      </c>
      <c r="K30" s="190" t="s">
        <v>26</v>
      </c>
      <c r="L30" s="189" t="s">
        <v>27</v>
      </c>
      <c r="M30" s="189" t="s">
        <v>28</v>
      </c>
      <c r="N30" s="191" t="s">
        <v>267</v>
      </c>
      <c r="O30" s="84"/>
    </row>
    <row r="31" spans="1:15" ht="48.75" customHeight="1">
      <c r="A31" s="88">
        <v>1</v>
      </c>
      <c r="B31" s="132" t="s">
        <v>468</v>
      </c>
      <c r="C31" s="195" t="s">
        <v>469</v>
      </c>
      <c r="D31" s="89">
        <v>250</v>
      </c>
      <c r="E31" s="89">
        <f>D31</f>
        <v>250</v>
      </c>
      <c r="F31" s="89">
        <v>0</v>
      </c>
      <c r="G31" s="89">
        <f>E31-F31</f>
        <v>250</v>
      </c>
      <c r="H31" s="90">
        <f>SUM(I31:N31)</f>
        <v>250</v>
      </c>
      <c r="I31" s="91"/>
      <c r="J31" s="91"/>
      <c r="K31" s="257"/>
      <c r="L31" s="258"/>
      <c r="M31" s="259">
        <v>250</v>
      </c>
      <c r="N31" s="257"/>
      <c r="O31" s="246" t="s">
        <v>453</v>
      </c>
    </row>
    <row r="32" spans="1:15" ht="48.75" customHeight="1">
      <c r="A32" s="88">
        <v>2</v>
      </c>
      <c r="B32" s="132" t="s">
        <v>470</v>
      </c>
      <c r="C32" s="195" t="s">
        <v>469</v>
      </c>
      <c r="D32" s="89">
        <v>10</v>
      </c>
      <c r="E32" s="89">
        <f>D32</f>
        <v>10</v>
      </c>
      <c r="F32" s="89">
        <v>0</v>
      </c>
      <c r="G32" s="89">
        <f>E32-F32</f>
        <v>10</v>
      </c>
      <c r="H32" s="90">
        <f>SUM(I32:N32)</f>
        <v>10</v>
      </c>
      <c r="I32" s="91"/>
      <c r="J32" s="91"/>
      <c r="K32" s="257"/>
      <c r="L32" s="258"/>
      <c r="M32" s="259">
        <v>10</v>
      </c>
      <c r="N32" s="257"/>
      <c r="O32" s="246" t="s">
        <v>453</v>
      </c>
    </row>
    <row r="33" spans="1:15" ht="48.75" customHeight="1">
      <c r="A33" s="88">
        <v>3</v>
      </c>
      <c r="B33" s="132" t="s">
        <v>471</v>
      </c>
      <c r="C33" s="195" t="s">
        <v>469</v>
      </c>
      <c r="D33" s="89">
        <f>110+32+60</f>
        <v>202</v>
      </c>
      <c r="E33" s="89">
        <f>D33</f>
        <v>202</v>
      </c>
      <c r="F33" s="89">
        <f>32+60</f>
        <v>92</v>
      </c>
      <c r="G33" s="89">
        <f>E33-F33</f>
        <v>110</v>
      </c>
      <c r="H33" s="90">
        <f>SUM(I33:N33)</f>
        <v>110</v>
      </c>
      <c r="I33" s="91"/>
      <c r="J33" s="91"/>
      <c r="K33" s="257"/>
      <c r="L33" s="258"/>
      <c r="M33" s="259">
        <v>110</v>
      </c>
      <c r="N33" s="257"/>
      <c r="O33" s="246" t="s">
        <v>453</v>
      </c>
    </row>
    <row r="34" spans="1:15" ht="48.75" customHeight="1">
      <c r="A34" s="88">
        <v>4</v>
      </c>
      <c r="B34" s="132" t="s">
        <v>472</v>
      </c>
      <c r="C34" s="195" t="s">
        <v>469</v>
      </c>
      <c r="D34" s="89">
        <v>5</v>
      </c>
      <c r="E34" s="89">
        <f>D34</f>
        <v>5</v>
      </c>
      <c r="F34" s="89">
        <v>0</v>
      </c>
      <c r="G34" s="89">
        <f>E34-F34</f>
        <v>5</v>
      </c>
      <c r="H34" s="90">
        <f>SUM(I34:N34)</f>
        <v>5</v>
      </c>
      <c r="I34" s="91"/>
      <c r="J34" s="91"/>
      <c r="K34" s="257"/>
      <c r="L34" s="258"/>
      <c r="M34" s="259">
        <v>5</v>
      </c>
      <c r="N34" s="257"/>
      <c r="O34" s="246" t="s">
        <v>453</v>
      </c>
    </row>
    <row r="35" spans="1:15" ht="19.5" customHeight="1">
      <c r="A35" s="78"/>
      <c r="B35" s="92"/>
      <c r="C35" s="78" t="s">
        <v>304</v>
      </c>
      <c r="D35" s="93">
        <f t="shared" ref="D35:N35" si="3">SUM(D31:D34)</f>
        <v>467</v>
      </c>
      <c r="E35" s="93">
        <f t="shared" si="3"/>
        <v>467</v>
      </c>
      <c r="F35" s="93">
        <f t="shared" si="3"/>
        <v>92</v>
      </c>
      <c r="G35" s="93">
        <f t="shared" si="3"/>
        <v>375</v>
      </c>
      <c r="H35" s="93">
        <f t="shared" si="3"/>
        <v>375</v>
      </c>
      <c r="I35" s="93">
        <f t="shared" si="3"/>
        <v>0</v>
      </c>
      <c r="J35" s="93">
        <f t="shared" si="3"/>
        <v>0</v>
      </c>
      <c r="K35" s="93">
        <f t="shared" si="3"/>
        <v>0</v>
      </c>
      <c r="L35" s="93">
        <f t="shared" si="3"/>
        <v>0</v>
      </c>
      <c r="M35" s="93">
        <f t="shared" si="3"/>
        <v>375</v>
      </c>
      <c r="N35" s="93">
        <f t="shared" si="3"/>
        <v>0</v>
      </c>
      <c r="O35" s="94"/>
    </row>
    <row r="36" spans="1:15" ht="19.5" customHeight="1">
      <c r="A36" s="78"/>
      <c r="B36" s="92"/>
      <c r="C36" s="78"/>
      <c r="D36" s="9"/>
      <c r="E36" s="9"/>
      <c r="F36" s="9"/>
      <c r="G36" s="9"/>
      <c r="H36" s="9"/>
      <c r="I36" s="9"/>
      <c r="J36" s="9"/>
      <c r="K36" s="9"/>
      <c r="L36" s="9"/>
      <c r="M36" s="9"/>
      <c r="N36" s="9"/>
      <c r="O36" s="94"/>
    </row>
    <row r="37" spans="1:15" ht="19.5" customHeight="1">
      <c r="A37" s="78"/>
      <c r="B37" s="92"/>
      <c r="C37" s="78"/>
      <c r="D37" s="9"/>
      <c r="E37" s="9"/>
      <c r="F37" s="9"/>
      <c r="G37" s="9"/>
      <c r="H37" s="9"/>
      <c r="I37" s="9"/>
      <c r="J37" s="9"/>
      <c r="K37" s="9"/>
      <c r="L37" s="9"/>
      <c r="M37" s="9"/>
      <c r="N37" s="9"/>
      <c r="O37" s="94"/>
    </row>
    <row r="38" spans="1:15" ht="19.5" customHeight="1">
      <c r="A38" s="78"/>
      <c r="B38" s="92"/>
      <c r="C38" s="78"/>
      <c r="D38" s="9"/>
      <c r="E38" s="9"/>
      <c r="F38" s="9"/>
      <c r="G38" s="9"/>
      <c r="H38" s="9"/>
      <c r="I38" s="9"/>
      <c r="J38" s="9"/>
      <c r="K38" s="9"/>
      <c r="L38" s="9"/>
      <c r="M38" s="9"/>
      <c r="N38" s="9"/>
      <c r="O38" s="94"/>
    </row>
    <row r="39" spans="1:15" ht="19.5" customHeight="1">
      <c r="A39" s="78"/>
      <c r="B39" s="92"/>
      <c r="C39" s="78"/>
      <c r="D39" s="9"/>
      <c r="E39" s="9"/>
      <c r="F39" s="9"/>
      <c r="G39" s="9"/>
      <c r="H39" s="9"/>
      <c r="I39" s="9"/>
      <c r="J39" s="9"/>
      <c r="K39" s="9"/>
      <c r="L39" s="9"/>
      <c r="M39" s="9"/>
      <c r="N39" s="9"/>
      <c r="O39" s="94"/>
    </row>
    <row r="40" spans="1:15" ht="19.5" customHeight="1">
      <c r="A40" s="78"/>
      <c r="B40" s="92"/>
      <c r="C40" s="78"/>
      <c r="D40" s="9"/>
      <c r="E40" s="9"/>
      <c r="F40" s="9"/>
      <c r="G40" s="9"/>
      <c r="H40" s="9"/>
      <c r="I40" s="9"/>
      <c r="J40" s="9"/>
      <c r="K40" s="9"/>
      <c r="L40" s="9"/>
      <c r="M40" s="9"/>
      <c r="N40" s="9"/>
      <c r="O40" s="94"/>
    </row>
    <row r="41" spans="1:15" ht="19.5" customHeight="1">
      <c r="A41" s="78"/>
      <c r="B41" s="92"/>
      <c r="C41" s="78"/>
      <c r="D41" s="9"/>
      <c r="E41" s="9"/>
      <c r="F41" s="9"/>
      <c r="G41" s="9"/>
      <c r="H41" s="9"/>
      <c r="I41" s="9"/>
      <c r="J41" s="9"/>
      <c r="K41" s="9"/>
      <c r="L41" s="9"/>
      <c r="M41" s="9"/>
      <c r="N41" s="9"/>
      <c r="O41" s="94"/>
    </row>
    <row r="42" spans="1:15" ht="19.5" customHeight="1">
      <c r="A42" s="78"/>
      <c r="B42" s="92"/>
      <c r="C42" s="78"/>
      <c r="D42" s="9"/>
      <c r="E42" s="9"/>
      <c r="F42" s="9"/>
      <c r="G42" s="9"/>
      <c r="H42" s="9"/>
      <c r="I42" s="9"/>
      <c r="J42" s="9"/>
      <c r="K42" s="9"/>
      <c r="L42" s="9"/>
      <c r="M42" s="9"/>
      <c r="N42" s="9"/>
      <c r="O42" s="94"/>
    </row>
    <row r="43" spans="1:15" ht="30" customHeight="1" thickBot="1">
      <c r="A43" s="182" t="s">
        <v>473</v>
      </c>
      <c r="B43" s="92"/>
      <c r="C43" s="78"/>
      <c r="D43" s="9"/>
      <c r="E43" s="9"/>
      <c r="F43" s="9"/>
      <c r="G43" s="9"/>
      <c r="H43" s="9"/>
      <c r="I43" s="9"/>
      <c r="J43" s="9"/>
      <c r="K43" s="9"/>
      <c r="L43" s="9"/>
      <c r="M43" s="9"/>
      <c r="N43" s="199" t="s">
        <v>41</v>
      </c>
      <c r="O43" s="94"/>
    </row>
    <row r="44" spans="1:15" ht="57.75" customHeight="1" thickBot="1">
      <c r="A44" s="185" t="s">
        <v>259</v>
      </c>
      <c r="B44" s="186" t="s">
        <v>260</v>
      </c>
      <c r="C44" s="187" t="s">
        <v>261</v>
      </c>
      <c r="D44" s="186" t="s">
        <v>262</v>
      </c>
      <c r="E44" s="188" t="s">
        <v>263</v>
      </c>
      <c r="F44" s="189" t="s">
        <v>264</v>
      </c>
      <c r="G44" s="189" t="s">
        <v>265</v>
      </c>
      <c r="H44" s="189" t="s">
        <v>266</v>
      </c>
      <c r="I44" s="86" t="s">
        <v>24</v>
      </c>
      <c r="J44" s="87" t="s">
        <v>25</v>
      </c>
      <c r="K44" s="190" t="s">
        <v>26</v>
      </c>
      <c r="L44" s="189" t="s">
        <v>27</v>
      </c>
      <c r="M44" s="189" t="s">
        <v>28</v>
      </c>
      <c r="N44" s="191" t="s">
        <v>267</v>
      </c>
      <c r="O44" s="94"/>
    </row>
    <row r="45" spans="1:15" ht="65.25" customHeight="1">
      <c r="A45" s="284">
        <v>1</v>
      </c>
      <c r="B45" s="133" t="s">
        <v>474</v>
      </c>
      <c r="C45" s="195" t="s">
        <v>269</v>
      </c>
      <c r="D45" s="89">
        <v>79353</v>
      </c>
      <c r="E45" s="89">
        <f t="shared" ref="E45:E70" si="4">D45</f>
        <v>79353</v>
      </c>
      <c r="F45" s="89">
        <v>0</v>
      </c>
      <c r="G45" s="89">
        <f t="shared" ref="G45:G70" si="5">E45-F45</f>
        <v>79353</v>
      </c>
      <c r="H45" s="90">
        <f t="shared" ref="H45:H68" si="6">SUM(I45:N45)</f>
        <v>78882</v>
      </c>
      <c r="I45" s="91">
        <v>78882</v>
      </c>
      <c r="J45" s="91"/>
      <c r="K45" s="91"/>
      <c r="L45" s="283"/>
      <c r="M45" s="91">
        <v>0</v>
      </c>
      <c r="N45" s="91"/>
      <c r="O45" s="246" t="s">
        <v>453</v>
      </c>
    </row>
    <row r="46" spans="1:15" ht="65.25" customHeight="1">
      <c r="A46" s="284">
        <v>2</v>
      </c>
      <c r="B46" s="133" t="s">
        <v>475</v>
      </c>
      <c r="C46" s="195" t="s">
        <v>269</v>
      </c>
      <c r="D46" s="89">
        <v>15</v>
      </c>
      <c r="E46" s="89">
        <f>D46</f>
        <v>15</v>
      </c>
      <c r="F46" s="89">
        <v>0</v>
      </c>
      <c r="G46" s="89">
        <f>E46-F46</f>
        <v>15</v>
      </c>
      <c r="H46" s="90">
        <f>SUM(I46:N46)</f>
        <v>15</v>
      </c>
      <c r="I46" s="91">
        <v>0</v>
      </c>
      <c r="J46" s="91"/>
      <c r="K46" s="91"/>
      <c r="L46" s="283"/>
      <c r="M46" s="91">
        <v>15</v>
      </c>
      <c r="N46" s="91"/>
      <c r="O46" s="246" t="s">
        <v>453</v>
      </c>
    </row>
    <row r="47" spans="1:15" ht="54">
      <c r="A47" s="284">
        <v>3</v>
      </c>
      <c r="B47" s="133" t="s">
        <v>476</v>
      </c>
      <c r="C47" s="195" t="s">
        <v>269</v>
      </c>
      <c r="D47" s="89">
        <v>6</v>
      </c>
      <c r="E47" s="89">
        <f t="shared" si="4"/>
        <v>6</v>
      </c>
      <c r="F47" s="89">
        <v>0</v>
      </c>
      <c r="G47" s="89">
        <f>E47-F47</f>
        <v>6</v>
      </c>
      <c r="H47" s="90">
        <f>SUM(I47:N47)</f>
        <v>6</v>
      </c>
      <c r="I47" s="91">
        <v>6</v>
      </c>
      <c r="J47" s="91"/>
      <c r="K47" s="91"/>
      <c r="L47" s="283"/>
      <c r="M47" s="91"/>
      <c r="N47" s="91"/>
      <c r="O47" s="246" t="s">
        <v>453</v>
      </c>
    </row>
    <row r="48" spans="1:15" ht="57" customHeight="1">
      <c r="A48" s="284">
        <v>4</v>
      </c>
      <c r="B48" s="133" t="s">
        <v>477</v>
      </c>
      <c r="C48" s="195" t="s">
        <v>269</v>
      </c>
      <c r="D48" s="89">
        <v>5</v>
      </c>
      <c r="E48" s="89">
        <f t="shared" si="4"/>
        <v>5</v>
      </c>
      <c r="F48" s="89">
        <v>0</v>
      </c>
      <c r="G48" s="89">
        <f t="shared" si="5"/>
        <v>5</v>
      </c>
      <c r="H48" s="90">
        <f t="shared" si="6"/>
        <v>5</v>
      </c>
      <c r="I48" s="91">
        <v>5</v>
      </c>
      <c r="J48" s="91"/>
      <c r="K48" s="91"/>
      <c r="L48" s="283"/>
      <c r="M48" s="91"/>
      <c r="N48" s="91"/>
      <c r="O48" s="246" t="s">
        <v>453</v>
      </c>
    </row>
    <row r="49" spans="1:15" ht="58.5" customHeight="1">
      <c r="A49" s="284">
        <v>5</v>
      </c>
      <c r="B49" s="133" t="s">
        <v>478</v>
      </c>
      <c r="C49" s="195" t="s">
        <v>269</v>
      </c>
      <c r="D49" s="89">
        <v>5</v>
      </c>
      <c r="E49" s="89">
        <f t="shared" si="4"/>
        <v>5</v>
      </c>
      <c r="F49" s="89">
        <v>0</v>
      </c>
      <c r="G49" s="89">
        <f t="shared" si="5"/>
        <v>5</v>
      </c>
      <c r="H49" s="90">
        <f t="shared" si="6"/>
        <v>5</v>
      </c>
      <c r="I49" s="91">
        <v>5</v>
      </c>
      <c r="J49" s="91"/>
      <c r="K49" s="91"/>
      <c r="L49" s="283"/>
      <c r="M49" s="91"/>
      <c r="N49" s="91"/>
      <c r="O49" s="246" t="s">
        <v>453</v>
      </c>
    </row>
    <row r="50" spans="1:15" ht="48.75" customHeight="1">
      <c r="A50" s="284">
        <v>6</v>
      </c>
      <c r="B50" s="133" t="s">
        <v>479</v>
      </c>
      <c r="C50" s="195" t="s">
        <v>269</v>
      </c>
      <c r="D50" s="89">
        <v>6</v>
      </c>
      <c r="E50" s="89">
        <f t="shared" si="4"/>
        <v>6</v>
      </c>
      <c r="F50" s="89">
        <v>0</v>
      </c>
      <c r="G50" s="89">
        <f t="shared" si="5"/>
        <v>6</v>
      </c>
      <c r="H50" s="90">
        <f t="shared" si="6"/>
        <v>6</v>
      </c>
      <c r="I50" s="91">
        <v>6</v>
      </c>
      <c r="J50" s="91"/>
      <c r="K50" s="91"/>
      <c r="L50" s="283"/>
      <c r="M50" s="91"/>
      <c r="N50" s="91"/>
      <c r="O50" s="246" t="s">
        <v>453</v>
      </c>
    </row>
    <row r="51" spans="1:15" ht="48.75" customHeight="1">
      <c r="A51" s="284">
        <v>7</v>
      </c>
      <c r="B51" s="133" t="s">
        <v>480</v>
      </c>
      <c r="C51" s="195" t="s">
        <v>269</v>
      </c>
      <c r="D51" s="89">
        <v>6</v>
      </c>
      <c r="E51" s="89">
        <f t="shared" si="4"/>
        <v>6</v>
      </c>
      <c r="F51" s="89">
        <v>0</v>
      </c>
      <c r="G51" s="89">
        <f t="shared" si="5"/>
        <v>6</v>
      </c>
      <c r="H51" s="90">
        <f t="shared" si="6"/>
        <v>6</v>
      </c>
      <c r="I51" s="91">
        <v>6</v>
      </c>
      <c r="J51" s="91"/>
      <c r="K51" s="91"/>
      <c r="L51" s="283"/>
      <c r="M51" s="91"/>
      <c r="N51" s="91"/>
      <c r="O51" s="246" t="s">
        <v>453</v>
      </c>
    </row>
    <row r="52" spans="1:15" ht="48.75" customHeight="1">
      <c r="A52" s="284">
        <v>8</v>
      </c>
      <c r="B52" s="133" t="s">
        <v>481</v>
      </c>
      <c r="C52" s="195" t="s">
        <v>269</v>
      </c>
      <c r="D52" s="89">
        <v>6</v>
      </c>
      <c r="E52" s="89">
        <f t="shared" si="4"/>
        <v>6</v>
      </c>
      <c r="F52" s="89">
        <v>0</v>
      </c>
      <c r="G52" s="89">
        <f t="shared" si="5"/>
        <v>6</v>
      </c>
      <c r="H52" s="90">
        <f t="shared" si="6"/>
        <v>6</v>
      </c>
      <c r="I52" s="91">
        <v>6</v>
      </c>
      <c r="J52" s="91"/>
      <c r="K52" s="91"/>
      <c r="L52" s="283"/>
      <c r="M52" s="91"/>
      <c r="N52" s="91"/>
      <c r="O52" s="246" t="s">
        <v>453</v>
      </c>
    </row>
    <row r="53" spans="1:15" ht="48.75" customHeight="1">
      <c r="A53" s="284">
        <v>9</v>
      </c>
      <c r="B53" s="133" t="s">
        <v>482</v>
      </c>
      <c r="C53" s="195" t="s">
        <v>269</v>
      </c>
      <c r="D53" s="89">
        <v>6</v>
      </c>
      <c r="E53" s="89">
        <f t="shared" si="4"/>
        <v>6</v>
      </c>
      <c r="F53" s="89">
        <v>0</v>
      </c>
      <c r="G53" s="89">
        <f t="shared" si="5"/>
        <v>6</v>
      </c>
      <c r="H53" s="90">
        <f t="shared" si="6"/>
        <v>6</v>
      </c>
      <c r="I53" s="91">
        <v>6</v>
      </c>
      <c r="J53" s="91"/>
      <c r="K53" s="91"/>
      <c r="L53" s="283"/>
      <c r="M53" s="91"/>
      <c r="N53" s="91"/>
      <c r="O53" s="246" t="s">
        <v>453</v>
      </c>
    </row>
    <row r="54" spans="1:15" ht="48.75" customHeight="1">
      <c r="A54" s="284">
        <v>10</v>
      </c>
      <c r="B54" s="133" t="s">
        <v>483</v>
      </c>
      <c r="C54" s="195" t="s">
        <v>269</v>
      </c>
      <c r="D54" s="89">
        <v>6</v>
      </c>
      <c r="E54" s="89">
        <f t="shared" si="4"/>
        <v>6</v>
      </c>
      <c r="F54" s="89">
        <v>0</v>
      </c>
      <c r="G54" s="89">
        <f t="shared" si="5"/>
        <v>6</v>
      </c>
      <c r="H54" s="90">
        <f t="shared" si="6"/>
        <v>6</v>
      </c>
      <c r="I54" s="91">
        <v>6</v>
      </c>
      <c r="J54" s="91"/>
      <c r="K54" s="91"/>
      <c r="L54" s="283"/>
      <c r="M54" s="91"/>
      <c r="N54" s="91"/>
      <c r="O54" s="246" t="s">
        <v>453</v>
      </c>
    </row>
    <row r="55" spans="1:15" ht="48.75" customHeight="1">
      <c r="A55" s="284">
        <v>11</v>
      </c>
      <c r="B55" s="133" t="s">
        <v>484</v>
      </c>
      <c r="C55" s="195" t="s">
        <v>269</v>
      </c>
      <c r="D55" s="89">
        <v>5</v>
      </c>
      <c r="E55" s="89">
        <f t="shared" si="4"/>
        <v>5</v>
      </c>
      <c r="F55" s="89">
        <v>0</v>
      </c>
      <c r="G55" s="89">
        <f t="shared" si="5"/>
        <v>5</v>
      </c>
      <c r="H55" s="90">
        <f t="shared" si="6"/>
        <v>5</v>
      </c>
      <c r="I55" s="91">
        <v>5</v>
      </c>
      <c r="J55" s="91"/>
      <c r="K55" s="91"/>
      <c r="L55" s="283"/>
      <c r="M55" s="91"/>
      <c r="N55" s="91"/>
      <c r="O55" s="246" t="s">
        <v>453</v>
      </c>
    </row>
    <row r="56" spans="1:15" ht="48.75" customHeight="1">
      <c r="A56" s="284">
        <v>12</v>
      </c>
      <c r="B56" s="133" t="s">
        <v>485</v>
      </c>
      <c r="C56" s="195" t="s">
        <v>269</v>
      </c>
      <c r="D56" s="89">
        <v>6</v>
      </c>
      <c r="E56" s="89">
        <f t="shared" si="4"/>
        <v>6</v>
      </c>
      <c r="F56" s="89">
        <v>0</v>
      </c>
      <c r="G56" s="89">
        <f t="shared" si="5"/>
        <v>6</v>
      </c>
      <c r="H56" s="90">
        <f t="shared" si="6"/>
        <v>6</v>
      </c>
      <c r="I56" s="91">
        <v>6</v>
      </c>
      <c r="J56" s="91"/>
      <c r="K56" s="91"/>
      <c r="L56" s="283"/>
      <c r="M56" s="91"/>
      <c r="N56" s="91"/>
      <c r="O56" s="246" t="s">
        <v>453</v>
      </c>
    </row>
    <row r="57" spans="1:15" ht="48.75" customHeight="1">
      <c r="A57" s="284">
        <v>13</v>
      </c>
      <c r="B57" s="133" t="s">
        <v>486</v>
      </c>
      <c r="C57" s="195" t="s">
        <v>269</v>
      </c>
      <c r="D57" s="89">
        <v>6</v>
      </c>
      <c r="E57" s="89">
        <f t="shared" si="4"/>
        <v>6</v>
      </c>
      <c r="F57" s="89">
        <v>0</v>
      </c>
      <c r="G57" s="89">
        <f t="shared" si="5"/>
        <v>6</v>
      </c>
      <c r="H57" s="90">
        <f t="shared" si="6"/>
        <v>6</v>
      </c>
      <c r="I57" s="91">
        <v>6</v>
      </c>
      <c r="J57" s="91"/>
      <c r="K57" s="91"/>
      <c r="L57" s="283"/>
      <c r="M57" s="91"/>
      <c r="N57" s="91"/>
      <c r="O57" s="246" t="s">
        <v>453</v>
      </c>
    </row>
    <row r="58" spans="1:15" ht="48.75" customHeight="1">
      <c r="A58" s="284">
        <v>14</v>
      </c>
      <c r="B58" s="133" t="s">
        <v>487</v>
      </c>
      <c r="C58" s="195" t="s">
        <v>269</v>
      </c>
      <c r="D58" s="89">
        <v>6</v>
      </c>
      <c r="E58" s="89">
        <f t="shared" si="4"/>
        <v>6</v>
      </c>
      <c r="F58" s="89">
        <v>0</v>
      </c>
      <c r="G58" s="89">
        <f t="shared" si="5"/>
        <v>6</v>
      </c>
      <c r="H58" s="90">
        <f t="shared" si="6"/>
        <v>6</v>
      </c>
      <c r="I58" s="91">
        <v>6</v>
      </c>
      <c r="J58" s="91"/>
      <c r="K58" s="91"/>
      <c r="L58" s="283"/>
      <c r="M58" s="91"/>
      <c r="N58" s="91"/>
      <c r="O58" s="246" t="s">
        <v>453</v>
      </c>
    </row>
    <row r="59" spans="1:15" ht="48.75" customHeight="1">
      <c r="A59" s="284">
        <v>15</v>
      </c>
      <c r="B59" s="133" t="s">
        <v>488</v>
      </c>
      <c r="C59" s="195" t="s">
        <v>269</v>
      </c>
      <c r="D59" s="89">
        <v>5</v>
      </c>
      <c r="E59" s="89">
        <f t="shared" si="4"/>
        <v>5</v>
      </c>
      <c r="F59" s="89">
        <v>0</v>
      </c>
      <c r="G59" s="89">
        <f t="shared" si="5"/>
        <v>5</v>
      </c>
      <c r="H59" s="90">
        <f t="shared" si="6"/>
        <v>5</v>
      </c>
      <c r="I59" s="91">
        <v>5</v>
      </c>
      <c r="J59" s="91"/>
      <c r="K59" s="91"/>
      <c r="L59" s="283"/>
      <c r="M59" s="91"/>
      <c r="N59" s="91"/>
      <c r="O59" s="246" t="s">
        <v>453</v>
      </c>
    </row>
    <row r="60" spans="1:15" ht="54">
      <c r="A60" s="284">
        <v>16</v>
      </c>
      <c r="B60" s="133" t="s">
        <v>489</v>
      </c>
      <c r="C60" s="195" t="s">
        <v>269</v>
      </c>
      <c r="D60" s="89">
        <v>5</v>
      </c>
      <c r="E60" s="89">
        <f t="shared" si="4"/>
        <v>5</v>
      </c>
      <c r="F60" s="89">
        <v>0</v>
      </c>
      <c r="G60" s="89">
        <f t="shared" si="5"/>
        <v>5</v>
      </c>
      <c r="H60" s="90">
        <f t="shared" si="6"/>
        <v>5</v>
      </c>
      <c r="I60" s="91">
        <v>5</v>
      </c>
      <c r="J60" s="91"/>
      <c r="K60" s="91"/>
      <c r="L60" s="283"/>
      <c r="M60" s="91"/>
      <c r="N60" s="91"/>
      <c r="O60" s="246" t="s">
        <v>453</v>
      </c>
    </row>
    <row r="61" spans="1:15" ht="54">
      <c r="A61" s="284">
        <v>17</v>
      </c>
      <c r="B61" s="133" t="s">
        <v>490</v>
      </c>
      <c r="C61" s="195" t="s">
        <v>269</v>
      </c>
      <c r="D61" s="89">
        <v>5</v>
      </c>
      <c r="E61" s="89">
        <f t="shared" si="4"/>
        <v>5</v>
      </c>
      <c r="F61" s="89">
        <v>0</v>
      </c>
      <c r="G61" s="89">
        <f t="shared" si="5"/>
        <v>5</v>
      </c>
      <c r="H61" s="90">
        <f t="shared" si="6"/>
        <v>5</v>
      </c>
      <c r="I61" s="91">
        <v>5</v>
      </c>
      <c r="J61" s="91"/>
      <c r="K61" s="91"/>
      <c r="L61" s="283"/>
      <c r="M61" s="91"/>
      <c r="N61" s="91"/>
      <c r="O61" s="246" t="s">
        <v>453</v>
      </c>
    </row>
    <row r="62" spans="1:15" ht="54">
      <c r="A62" s="284">
        <v>18</v>
      </c>
      <c r="B62" s="133" t="s">
        <v>491</v>
      </c>
      <c r="C62" s="195" t="s">
        <v>269</v>
      </c>
      <c r="D62" s="89">
        <v>6</v>
      </c>
      <c r="E62" s="89">
        <f t="shared" si="4"/>
        <v>6</v>
      </c>
      <c r="F62" s="89">
        <v>0</v>
      </c>
      <c r="G62" s="89">
        <f t="shared" si="5"/>
        <v>6</v>
      </c>
      <c r="H62" s="90">
        <f t="shared" si="6"/>
        <v>6</v>
      </c>
      <c r="I62" s="91">
        <v>6</v>
      </c>
      <c r="J62" s="91"/>
      <c r="K62" s="91"/>
      <c r="L62" s="283"/>
      <c r="M62" s="91"/>
      <c r="N62" s="91"/>
      <c r="O62" s="246" t="s">
        <v>453</v>
      </c>
    </row>
    <row r="63" spans="1:15" ht="50.25" customHeight="1">
      <c r="A63" s="284">
        <v>19</v>
      </c>
      <c r="B63" s="133" t="s">
        <v>492</v>
      </c>
      <c r="C63" s="195" t="s">
        <v>269</v>
      </c>
      <c r="D63" s="89">
        <v>6</v>
      </c>
      <c r="E63" s="89">
        <f t="shared" si="4"/>
        <v>6</v>
      </c>
      <c r="F63" s="89">
        <v>0</v>
      </c>
      <c r="G63" s="89">
        <f t="shared" si="5"/>
        <v>6</v>
      </c>
      <c r="H63" s="90">
        <f t="shared" si="6"/>
        <v>6</v>
      </c>
      <c r="I63" s="91">
        <v>6</v>
      </c>
      <c r="J63" s="91"/>
      <c r="K63" s="91"/>
      <c r="L63" s="283"/>
      <c r="M63" s="91"/>
      <c r="N63" s="91"/>
      <c r="O63" s="246" t="s">
        <v>453</v>
      </c>
    </row>
    <row r="64" spans="1:15" ht="50.25" customHeight="1">
      <c r="A64" s="284">
        <v>20</v>
      </c>
      <c r="B64" s="133" t="s">
        <v>493</v>
      </c>
      <c r="C64" s="195" t="s">
        <v>269</v>
      </c>
      <c r="D64" s="89">
        <v>6</v>
      </c>
      <c r="E64" s="89">
        <f t="shared" si="4"/>
        <v>6</v>
      </c>
      <c r="F64" s="89">
        <v>0</v>
      </c>
      <c r="G64" s="89">
        <f t="shared" si="5"/>
        <v>6</v>
      </c>
      <c r="H64" s="90">
        <f t="shared" si="6"/>
        <v>6</v>
      </c>
      <c r="I64" s="91">
        <v>6</v>
      </c>
      <c r="J64" s="91"/>
      <c r="K64" s="91"/>
      <c r="L64" s="283"/>
      <c r="M64" s="91"/>
      <c r="N64" s="91"/>
      <c r="O64" s="246" t="s">
        <v>453</v>
      </c>
    </row>
    <row r="65" spans="1:15" ht="50.25" customHeight="1">
      <c r="A65" s="284">
        <v>21</v>
      </c>
      <c r="B65" s="133" t="s">
        <v>494</v>
      </c>
      <c r="C65" s="195" t="s">
        <v>269</v>
      </c>
      <c r="D65" s="89">
        <v>5</v>
      </c>
      <c r="E65" s="89">
        <f t="shared" si="4"/>
        <v>5</v>
      </c>
      <c r="F65" s="89">
        <v>0</v>
      </c>
      <c r="G65" s="89">
        <f t="shared" si="5"/>
        <v>5</v>
      </c>
      <c r="H65" s="90">
        <f t="shared" si="6"/>
        <v>5</v>
      </c>
      <c r="I65" s="91">
        <v>5</v>
      </c>
      <c r="J65" s="91"/>
      <c r="K65" s="91"/>
      <c r="L65" s="283"/>
      <c r="M65" s="91"/>
      <c r="N65" s="91"/>
      <c r="O65" s="246" t="s">
        <v>453</v>
      </c>
    </row>
    <row r="66" spans="1:15" ht="50.25" customHeight="1">
      <c r="A66" s="284">
        <v>22</v>
      </c>
      <c r="B66" s="133" t="s">
        <v>495</v>
      </c>
      <c r="C66" s="195" t="s">
        <v>269</v>
      </c>
      <c r="D66" s="89">
        <v>5</v>
      </c>
      <c r="E66" s="89">
        <f t="shared" si="4"/>
        <v>5</v>
      </c>
      <c r="F66" s="89">
        <v>0</v>
      </c>
      <c r="G66" s="89">
        <f t="shared" si="5"/>
        <v>5</v>
      </c>
      <c r="H66" s="90">
        <f t="shared" si="6"/>
        <v>5</v>
      </c>
      <c r="I66" s="91">
        <v>5</v>
      </c>
      <c r="J66" s="91"/>
      <c r="K66" s="91"/>
      <c r="L66" s="283"/>
      <c r="M66" s="91"/>
      <c r="N66" s="91"/>
      <c r="O66" s="246" t="s">
        <v>453</v>
      </c>
    </row>
    <row r="67" spans="1:15" ht="50.25" customHeight="1">
      <c r="A67" s="284">
        <v>23</v>
      </c>
      <c r="B67" s="133" t="s">
        <v>496</v>
      </c>
      <c r="C67" s="195" t="s">
        <v>269</v>
      </c>
      <c r="D67" s="89">
        <v>5</v>
      </c>
      <c r="E67" s="89">
        <f t="shared" si="4"/>
        <v>5</v>
      </c>
      <c r="F67" s="89">
        <v>0</v>
      </c>
      <c r="G67" s="89">
        <f t="shared" si="5"/>
        <v>5</v>
      </c>
      <c r="H67" s="90">
        <f t="shared" si="6"/>
        <v>5</v>
      </c>
      <c r="I67" s="91">
        <v>5</v>
      </c>
      <c r="J67" s="91"/>
      <c r="K67" s="91"/>
      <c r="L67" s="283"/>
      <c r="M67" s="91"/>
      <c r="N67" s="91"/>
      <c r="O67" s="246" t="s">
        <v>453</v>
      </c>
    </row>
    <row r="68" spans="1:15" ht="57" customHeight="1">
      <c r="A68" s="284">
        <v>24</v>
      </c>
      <c r="B68" s="133" t="s">
        <v>497</v>
      </c>
      <c r="C68" s="195" t="s">
        <v>269</v>
      </c>
      <c r="D68" s="89">
        <v>5</v>
      </c>
      <c r="E68" s="89">
        <f t="shared" si="4"/>
        <v>5</v>
      </c>
      <c r="F68" s="89">
        <v>0</v>
      </c>
      <c r="G68" s="89">
        <f t="shared" si="5"/>
        <v>5</v>
      </c>
      <c r="H68" s="90">
        <f t="shared" si="6"/>
        <v>5</v>
      </c>
      <c r="I68" s="91">
        <v>5</v>
      </c>
      <c r="J68" s="91"/>
      <c r="K68" s="91"/>
      <c r="L68" s="283"/>
      <c r="M68" s="91"/>
      <c r="N68" s="91"/>
      <c r="O68" s="246" t="s">
        <v>453</v>
      </c>
    </row>
    <row r="69" spans="1:15" ht="53.25" customHeight="1">
      <c r="A69" s="284">
        <v>25</v>
      </c>
      <c r="B69" s="133" t="s">
        <v>498</v>
      </c>
      <c r="C69" s="195" t="s">
        <v>269</v>
      </c>
      <c r="D69" s="89">
        <v>5</v>
      </c>
      <c r="E69" s="89">
        <f t="shared" si="4"/>
        <v>5</v>
      </c>
      <c r="F69" s="89">
        <v>0</v>
      </c>
      <c r="G69" s="89">
        <f t="shared" si="5"/>
        <v>5</v>
      </c>
      <c r="H69" s="90">
        <f>SUM(J69:N69)</f>
        <v>5</v>
      </c>
      <c r="I69" s="91"/>
      <c r="J69" s="91"/>
      <c r="K69" s="91">
        <f>6-1</f>
        <v>5</v>
      </c>
      <c r="L69" s="283"/>
      <c r="M69" s="91"/>
      <c r="N69" s="91"/>
      <c r="O69" s="246" t="s">
        <v>453</v>
      </c>
    </row>
    <row r="70" spans="1:15" ht="54" customHeight="1">
      <c r="A70" s="284">
        <v>26</v>
      </c>
      <c r="B70" s="133" t="s">
        <v>499</v>
      </c>
      <c r="C70" s="195" t="s">
        <v>269</v>
      </c>
      <c r="D70" s="89">
        <v>5</v>
      </c>
      <c r="E70" s="89">
        <f t="shared" si="4"/>
        <v>5</v>
      </c>
      <c r="F70" s="89">
        <v>0</v>
      </c>
      <c r="G70" s="89">
        <f t="shared" si="5"/>
        <v>5</v>
      </c>
      <c r="H70" s="90">
        <f>SUM(J70:N70)</f>
        <v>5</v>
      </c>
      <c r="I70" s="91"/>
      <c r="J70" s="91"/>
      <c r="K70" s="91">
        <f>6-1</f>
        <v>5</v>
      </c>
      <c r="L70" s="283"/>
      <c r="M70" s="91"/>
      <c r="N70" s="91"/>
      <c r="O70" s="246" t="s">
        <v>453</v>
      </c>
    </row>
    <row r="71" spans="1:15" ht="68.25" customHeight="1">
      <c r="A71" s="284">
        <v>27</v>
      </c>
      <c r="B71" s="133" t="s">
        <v>500</v>
      </c>
      <c r="C71" s="195" t="s">
        <v>501</v>
      </c>
      <c r="D71" s="89">
        <v>5</v>
      </c>
      <c r="E71" s="89">
        <f>D71</f>
        <v>5</v>
      </c>
      <c r="F71" s="89">
        <v>0</v>
      </c>
      <c r="G71" s="89">
        <f>E71-F71</f>
        <v>5</v>
      </c>
      <c r="H71" s="90">
        <f>SUM(J71:N71)</f>
        <v>5</v>
      </c>
      <c r="I71" s="91"/>
      <c r="J71" s="91"/>
      <c r="K71" s="91"/>
      <c r="L71" s="283"/>
      <c r="M71" s="91">
        <v>5</v>
      </c>
      <c r="N71" s="91"/>
      <c r="O71" s="246" t="s">
        <v>453</v>
      </c>
    </row>
    <row r="72" spans="1:15" ht="27.75" customHeight="1">
      <c r="A72" s="78"/>
      <c r="B72" s="92" t="s">
        <v>304</v>
      </c>
      <c r="C72" s="78"/>
      <c r="D72" s="97">
        <f>SUM(D45:D71)</f>
        <v>79505</v>
      </c>
      <c r="E72" s="97">
        <f t="shared" ref="E72:N72" si="7">SUM(E45:E71)</f>
        <v>79505</v>
      </c>
      <c r="F72" s="97">
        <f t="shared" si="7"/>
        <v>0</v>
      </c>
      <c r="G72" s="97">
        <f t="shared" si="7"/>
        <v>79505</v>
      </c>
      <c r="H72" s="97">
        <f t="shared" si="7"/>
        <v>79034</v>
      </c>
      <c r="I72" s="97">
        <f t="shared" si="7"/>
        <v>79004</v>
      </c>
      <c r="J72" s="97">
        <f t="shared" si="7"/>
        <v>0</v>
      </c>
      <c r="K72" s="97">
        <f t="shared" si="7"/>
        <v>10</v>
      </c>
      <c r="L72" s="97">
        <f t="shared" si="7"/>
        <v>0</v>
      </c>
      <c r="M72" s="97">
        <f t="shared" si="7"/>
        <v>20</v>
      </c>
      <c r="N72" s="97">
        <f t="shared" si="7"/>
        <v>0</v>
      </c>
      <c r="O72" s="94"/>
    </row>
    <row r="73" spans="1:15" ht="27.75" customHeight="1">
      <c r="A73" s="78"/>
      <c r="B73" s="92"/>
      <c r="C73" s="78"/>
      <c r="D73" s="104"/>
      <c r="E73" s="104"/>
      <c r="F73" s="104"/>
      <c r="G73" s="104"/>
      <c r="H73" s="104"/>
      <c r="I73" s="104"/>
      <c r="J73" s="104"/>
      <c r="K73" s="104"/>
      <c r="L73" s="104"/>
      <c r="M73" s="104"/>
      <c r="N73" s="104"/>
      <c r="O73" s="94"/>
    </row>
    <row r="74" spans="1:15" ht="27.75" customHeight="1">
      <c r="A74" s="78"/>
      <c r="B74" s="92"/>
      <c r="C74" s="78"/>
      <c r="D74" s="104"/>
      <c r="E74" s="104"/>
      <c r="F74" s="104"/>
      <c r="G74" s="104"/>
      <c r="H74" s="104"/>
      <c r="I74" s="104"/>
      <c r="J74" s="104"/>
      <c r="K74" s="104"/>
      <c r="L74" s="104"/>
      <c r="M74" s="104"/>
      <c r="N74" s="104"/>
      <c r="O74" s="94"/>
    </row>
    <row r="75" spans="1:15" ht="27.75" customHeight="1">
      <c r="A75" s="78"/>
      <c r="B75" s="92"/>
      <c r="C75" s="78"/>
      <c r="D75" s="104"/>
      <c r="E75" s="104"/>
      <c r="F75" s="104"/>
      <c r="G75" s="104"/>
      <c r="H75" s="104"/>
      <c r="I75" s="104"/>
      <c r="J75" s="104"/>
      <c r="K75" s="104"/>
      <c r="L75" s="104"/>
      <c r="M75" s="104"/>
      <c r="N75" s="104"/>
      <c r="O75" s="94"/>
    </row>
    <row r="76" spans="1:15" ht="27.75" customHeight="1">
      <c r="A76" s="78"/>
      <c r="B76" s="92"/>
      <c r="C76" s="78"/>
      <c r="D76" s="104"/>
      <c r="E76" s="104"/>
      <c r="F76" s="104"/>
      <c r="G76" s="104"/>
      <c r="H76" s="104"/>
      <c r="I76" s="104"/>
      <c r="J76" s="104"/>
      <c r="K76" s="104"/>
      <c r="L76" s="104"/>
      <c r="M76" s="104"/>
      <c r="N76" s="104"/>
      <c r="O76" s="94"/>
    </row>
    <row r="77" spans="1:15" ht="27.75" customHeight="1">
      <c r="A77" s="78"/>
      <c r="B77" s="92"/>
      <c r="C77" s="78"/>
      <c r="D77" s="104"/>
      <c r="E77" s="104"/>
      <c r="F77" s="104"/>
      <c r="G77" s="104"/>
      <c r="H77" s="104"/>
      <c r="I77" s="104"/>
      <c r="J77" s="104"/>
      <c r="K77" s="104"/>
      <c r="L77" s="104"/>
      <c r="M77" s="104"/>
      <c r="N77" s="104"/>
      <c r="O77" s="94"/>
    </row>
    <row r="78" spans="1:15" ht="33.75" customHeight="1">
      <c r="A78" s="78"/>
      <c r="B78" s="92"/>
      <c r="C78" s="78"/>
      <c r="D78" s="104"/>
      <c r="E78" s="104"/>
      <c r="F78" s="104"/>
      <c r="G78" s="104"/>
      <c r="H78" s="104"/>
      <c r="I78" s="104"/>
      <c r="J78" s="104"/>
      <c r="K78" s="104"/>
      <c r="L78" s="104"/>
      <c r="M78" s="104"/>
      <c r="N78" s="104"/>
      <c r="O78" s="94"/>
    </row>
    <row r="79" spans="1:15" ht="29.25" customHeight="1" thickBot="1">
      <c r="A79" s="277" t="s">
        <v>502</v>
      </c>
      <c r="B79" s="98"/>
      <c r="C79" s="78"/>
      <c r="D79" s="92"/>
      <c r="E79" s="76"/>
      <c r="F79" s="76"/>
      <c r="G79" s="76"/>
      <c r="H79" s="76"/>
      <c r="I79" s="76"/>
      <c r="J79" s="76"/>
      <c r="K79" s="76"/>
      <c r="L79" s="76"/>
      <c r="M79" s="76"/>
      <c r="N79" s="200" t="s">
        <v>41</v>
      </c>
      <c r="O79" s="99"/>
    </row>
    <row r="80" spans="1:15" ht="52.5" customHeight="1" thickBot="1">
      <c r="A80" s="185" t="s">
        <v>259</v>
      </c>
      <c r="B80" s="186" t="s">
        <v>260</v>
      </c>
      <c r="C80" s="187" t="s">
        <v>261</v>
      </c>
      <c r="D80" s="186" t="s">
        <v>262</v>
      </c>
      <c r="E80" s="188" t="s">
        <v>263</v>
      </c>
      <c r="F80" s="189" t="s">
        <v>264</v>
      </c>
      <c r="G80" s="189" t="s">
        <v>265</v>
      </c>
      <c r="H80" s="189" t="s">
        <v>266</v>
      </c>
      <c r="I80" s="86" t="s">
        <v>24</v>
      </c>
      <c r="J80" s="87" t="s">
        <v>25</v>
      </c>
      <c r="K80" s="190" t="s">
        <v>26</v>
      </c>
      <c r="L80" s="189" t="s">
        <v>27</v>
      </c>
      <c r="M80" s="189" t="s">
        <v>28</v>
      </c>
      <c r="N80" s="191" t="s">
        <v>267</v>
      </c>
      <c r="O80" s="84"/>
    </row>
    <row r="81" spans="1:15" ht="42">
      <c r="A81" s="284">
        <v>1</v>
      </c>
      <c r="B81" s="133" t="s">
        <v>503</v>
      </c>
      <c r="C81" s="195" t="s">
        <v>269</v>
      </c>
      <c r="D81" s="89">
        <v>6</v>
      </c>
      <c r="E81" s="89">
        <f t="shared" ref="E81:E87" si="8">D81</f>
        <v>6</v>
      </c>
      <c r="F81" s="89">
        <v>0</v>
      </c>
      <c r="G81" s="89">
        <f t="shared" ref="G81:G87" si="9">E81-F81</f>
        <v>6</v>
      </c>
      <c r="H81" s="90">
        <f t="shared" ref="H81:H87" si="10">SUM(I81:N81)</f>
        <v>6</v>
      </c>
      <c r="I81" s="91">
        <v>6</v>
      </c>
      <c r="J81" s="91"/>
      <c r="K81" s="91"/>
      <c r="L81" s="283"/>
      <c r="M81" s="91"/>
      <c r="N81" s="91"/>
      <c r="O81" s="246" t="s">
        <v>453</v>
      </c>
    </row>
    <row r="82" spans="1:15" ht="42">
      <c r="A82" s="284">
        <v>2</v>
      </c>
      <c r="B82" s="133" t="s">
        <v>504</v>
      </c>
      <c r="C82" s="195" t="s">
        <v>269</v>
      </c>
      <c r="D82" s="89">
        <v>16</v>
      </c>
      <c r="E82" s="89">
        <f t="shared" si="8"/>
        <v>16</v>
      </c>
      <c r="F82" s="89">
        <v>0</v>
      </c>
      <c r="G82" s="89">
        <f t="shared" si="9"/>
        <v>16</v>
      </c>
      <c r="H82" s="90">
        <f t="shared" si="10"/>
        <v>16</v>
      </c>
      <c r="I82" s="91">
        <v>16</v>
      </c>
      <c r="J82" s="91"/>
      <c r="K82" s="91"/>
      <c r="L82" s="283"/>
      <c r="M82" s="91"/>
      <c r="N82" s="91"/>
      <c r="O82" s="246" t="s">
        <v>453</v>
      </c>
    </row>
    <row r="83" spans="1:15" ht="42">
      <c r="A83" s="284">
        <v>3</v>
      </c>
      <c r="B83" s="133" t="s">
        <v>505</v>
      </c>
      <c r="C83" s="195" t="s">
        <v>269</v>
      </c>
      <c r="D83" s="89">
        <v>6</v>
      </c>
      <c r="E83" s="89">
        <f t="shared" si="8"/>
        <v>6</v>
      </c>
      <c r="F83" s="89">
        <v>0</v>
      </c>
      <c r="G83" s="89">
        <f t="shared" si="9"/>
        <v>6</v>
      </c>
      <c r="H83" s="90">
        <f t="shared" si="10"/>
        <v>6</v>
      </c>
      <c r="I83" s="91">
        <v>6</v>
      </c>
      <c r="J83" s="91"/>
      <c r="K83" s="91"/>
      <c r="L83" s="283"/>
      <c r="M83" s="91"/>
      <c r="N83" s="91"/>
      <c r="O83" s="246" t="s">
        <v>453</v>
      </c>
    </row>
    <row r="84" spans="1:15" ht="51.75" customHeight="1">
      <c r="A84" s="284">
        <v>4</v>
      </c>
      <c r="B84" s="132" t="s">
        <v>506</v>
      </c>
      <c r="C84" s="195" t="s">
        <v>507</v>
      </c>
      <c r="D84" s="282">
        <v>8213</v>
      </c>
      <c r="E84" s="282">
        <f>D84</f>
        <v>8213</v>
      </c>
      <c r="F84" s="282">
        <v>0</v>
      </c>
      <c r="G84" s="132">
        <f>E84-F84</f>
        <v>8213</v>
      </c>
      <c r="H84" s="95">
        <f>SUM(I84:N84)</f>
        <v>8213</v>
      </c>
      <c r="I84" s="282">
        <v>8213</v>
      </c>
      <c r="J84" s="282"/>
      <c r="K84" s="282"/>
      <c r="L84" s="282"/>
      <c r="M84" s="282"/>
      <c r="N84" s="282"/>
      <c r="O84" s="246" t="s">
        <v>453</v>
      </c>
    </row>
    <row r="85" spans="1:15" ht="81">
      <c r="A85" s="284">
        <v>5</v>
      </c>
      <c r="B85" s="132" t="s">
        <v>508</v>
      </c>
      <c r="C85" s="195" t="s">
        <v>507</v>
      </c>
      <c r="D85" s="282">
        <f>120+20</f>
        <v>140</v>
      </c>
      <c r="E85" s="282">
        <f t="shared" si="8"/>
        <v>140</v>
      </c>
      <c r="F85" s="282">
        <v>0</v>
      </c>
      <c r="G85" s="132">
        <f t="shared" si="9"/>
        <v>140</v>
      </c>
      <c r="H85" s="95">
        <f t="shared" si="10"/>
        <v>140</v>
      </c>
      <c r="I85" s="282"/>
      <c r="J85" s="282"/>
      <c r="K85" s="282"/>
      <c r="L85" s="282">
        <f>120+20</f>
        <v>140</v>
      </c>
      <c r="M85" s="282"/>
      <c r="N85" s="282"/>
      <c r="O85" s="246" t="s">
        <v>453</v>
      </c>
    </row>
    <row r="86" spans="1:15" ht="42">
      <c r="A86" s="284">
        <v>6</v>
      </c>
      <c r="B86" s="132" t="s">
        <v>509</v>
      </c>
      <c r="C86" s="195" t="s">
        <v>507</v>
      </c>
      <c r="D86" s="282">
        <v>23</v>
      </c>
      <c r="E86" s="282">
        <f t="shared" si="8"/>
        <v>23</v>
      </c>
      <c r="F86" s="282">
        <v>0</v>
      </c>
      <c r="G86" s="132">
        <f t="shared" si="9"/>
        <v>23</v>
      </c>
      <c r="H86" s="95">
        <f t="shared" si="10"/>
        <v>23</v>
      </c>
      <c r="I86" s="282"/>
      <c r="J86" s="282"/>
      <c r="K86" s="282"/>
      <c r="L86" s="282">
        <v>23</v>
      </c>
      <c r="M86" s="282"/>
      <c r="N86" s="282"/>
      <c r="O86" s="246" t="s">
        <v>453</v>
      </c>
    </row>
    <row r="87" spans="1:15" ht="42">
      <c r="A87" s="284">
        <v>7</v>
      </c>
      <c r="B87" s="132" t="s">
        <v>510</v>
      </c>
      <c r="C87" s="195" t="s">
        <v>507</v>
      </c>
      <c r="D87" s="282">
        <v>24</v>
      </c>
      <c r="E87" s="282">
        <f t="shared" si="8"/>
        <v>24</v>
      </c>
      <c r="F87" s="282">
        <v>0</v>
      </c>
      <c r="G87" s="132">
        <f t="shared" si="9"/>
        <v>24</v>
      </c>
      <c r="H87" s="95">
        <f t="shared" si="10"/>
        <v>24</v>
      </c>
      <c r="I87" s="282"/>
      <c r="J87" s="282"/>
      <c r="K87" s="282"/>
      <c r="L87" s="282">
        <v>24</v>
      </c>
      <c r="M87" s="282"/>
      <c r="N87" s="282"/>
      <c r="O87" s="246" t="s">
        <v>453</v>
      </c>
    </row>
    <row r="88" spans="1:15" ht="24" customHeight="1">
      <c r="A88" s="78"/>
      <c r="B88" s="92"/>
      <c r="C88" s="78" t="s">
        <v>304</v>
      </c>
      <c r="D88" s="101">
        <f>SUM(D81:D87)</f>
        <v>8428</v>
      </c>
      <c r="E88" s="101">
        <f t="shared" ref="E88:N88" si="11">SUM(E81:E87)</f>
        <v>8428</v>
      </c>
      <c r="F88" s="101">
        <f t="shared" si="11"/>
        <v>0</v>
      </c>
      <c r="G88" s="101">
        <f t="shared" si="11"/>
        <v>8428</v>
      </c>
      <c r="H88" s="101">
        <f t="shared" si="11"/>
        <v>8428</v>
      </c>
      <c r="I88" s="101">
        <f t="shared" si="11"/>
        <v>8241</v>
      </c>
      <c r="J88" s="101">
        <f t="shared" si="11"/>
        <v>0</v>
      </c>
      <c r="K88" s="101">
        <f t="shared" si="11"/>
        <v>0</v>
      </c>
      <c r="L88" s="101">
        <f t="shared" si="11"/>
        <v>187</v>
      </c>
      <c r="M88" s="101">
        <f t="shared" si="11"/>
        <v>0</v>
      </c>
      <c r="N88" s="101">
        <f t="shared" si="11"/>
        <v>0</v>
      </c>
      <c r="O88" s="94"/>
    </row>
    <row r="89" spans="1:15" ht="12.75" customHeight="1">
      <c r="A89" s="78"/>
      <c r="B89" s="92"/>
      <c r="C89" s="78"/>
      <c r="D89" s="125"/>
      <c r="E89" s="125"/>
      <c r="F89" s="125"/>
      <c r="G89" s="125"/>
      <c r="H89" s="125"/>
      <c r="I89" s="125"/>
      <c r="J89" s="125"/>
      <c r="K89" s="125"/>
      <c r="L89" s="125"/>
      <c r="M89" s="125"/>
      <c r="N89" s="125"/>
      <c r="O89" s="94"/>
    </row>
    <row r="90" spans="1:15" ht="12.75" customHeight="1">
      <c r="A90" s="78"/>
      <c r="B90" s="92"/>
      <c r="C90" s="78"/>
      <c r="D90" s="125"/>
      <c r="E90" s="125"/>
      <c r="F90" s="125"/>
      <c r="G90" s="125"/>
      <c r="H90" s="125"/>
      <c r="I90" s="125"/>
      <c r="J90" s="125"/>
      <c r="K90" s="125"/>
      <c r="L90" s="125"/>
      <c r="M90" s="125"/>
      <c r="N90" s="125"/>
      <c r="O90" s="94"/>
    </row>
    <row r="91" spans="1:15" ht="30" customHeight="1" thickBot="1">
      <c r="A91" s="70" t="s">
        <v>355</v>
      </c>
      <c r="B91" s="4"/>
      <c r="C91" s="78"/>
      <c r="D91" s="92"/>
      <c r="E91" s="76"/>
      <c r="F91" s="76"/>
      <c r="G91" s="76"/>
      <c r="H91" s="76"/>
      <c r="I91" s="76"/>
      <c r="J91" s="76"/>
      <c r="K91" s="76"/>
      <c r="L91" s="76"/>
      <c r="M91" s="76"/>
      <c r="N91" s="85" t="s">
        <v>41</v>
      </c>
      <c r="O91" s="99"/>
    </row>
    <row r="92" spans="1:15" ht="57.75" customHeight="1" thickBot="1">
      <c r="A92" s="185" t="s">
        <v>259</v>
      </c>
      <c r="B92" s="186" t="s">
        <v>260</v>
      </c>
      <c r="C92" s="187" t="s">
        <v>261</v>
      </c>
      <c r="D92" s="186" t="s">
        <v>262</v>
      </c>
      <c r="E92" s="188" t="s">
        <v>263</v>
      </c>
      <c r="F92" s="189" t="s">
        <v>264</v>
      </c>
      <c r="G92" s="189" t="s">
        <v>265</v>
      </c>
      <c r="H92" s="189" t="s">
        <v>266</v>
      </c>
      <c r="I92" s="86" t="s">
        <v>24</v>
      </c>
      <c r="J92" s="87" t="s">
        <v>25</v>
      </c>
      <c r="K92" s="190" t="s">
        <v>26</v>
      </c>
      <c r="L92" s="189" t="s">
        <v>27</v>
      </c>
      <c r="M92" s="189" t="s">
        <v>28</v>
      </c>
      <c r="N92" s="191" t="s">
        <v>267</v>
      </c>
      <c r="O92" s="84"/>
    </row>
    <row r="93" spans="1:15" ht="45.75" customHeight="1">
      <c r="A93" s="284">
        <v>1</v>
      </c>
      <c r="B93" s="133" t="s">
        <v>511</v>
      </c>
      <c r="C93" s="195" t="s">
        <v>269</v>
      </c>
      <c r="D93" s="89">
        <v>5</v>
      </c>
      <c r="E93" s="89">
        <f t="shared" ref="E93:E98" si="12">D93</f>
        <v>5</v>
      </c>
      <c r="F93" s="89">
        <v>0</v>
      </c>
      <c r="G93" s="89">
        <f t="shared" ref="G93:G98" si="13">E93-F93</f>
        <v>5</v>
      </c>
      <c r="H93" s="90">
        <f t="shared" ref="H93:H98" si="14">SUM(I93:N93)</f>
        <v>5</v>
      </c>
      <c r="I93" s="91">
        <v>0</v>
      </c>
      <c r="J93" s="91"/>
      <c r="K93" s="91">
        <v>5</v>
      </c>
      <c r="L93" s="283"/>
      <c r="M93" s="91">
        <v>0</v>
      </c>
      <c r="N93" s="91"/>
      <c r="O93" s="246" t="s">
        <v>453</v>
      </c>
    </row>
    <row r="94" spans="1:15" ht="45.75" customHeight="1">
      <c r="A94" s="284">
        <v>2</v>
      </c>
      <c r="B94" s="132" t="s">
        <v>512</v>
      </c>
      <c r="C94" s="365" t="s">
        <v>362</v>
      </c>
      <c r="D94" s="282">
        <v>220</v>
      </c>
      <c r="E94" s="282">
        <f t="shared" si="12"/>
        <v>220</v>
      </c>
      <c r="F94" s="282">
        <v>0</v>
      </c>
      <c r="G94" s="132">
        <f t="shared" si="13"/>
        <v>220</v>
      </c>
      <c r="H94" s="95">
        <f t="shared" si="14"/>
        <v>220</v>
      </c>
      <c r="I94" s="282"/>
      <c r="J94" s="282"/>
      <c r="K94" s="282">
        <v>0</v>
      </c>
      <c r="L94" s="282">
        <v>220</v>
      </c>
      <c r="M94" s="282">
        <v>0</v>
      </c>
      <c r="N94" s="282"/>
      <c r="O94" s="117" t="s">
        <v>453</v>
      </c>
    </row>
    <row r="95" spans="1:15" ht="45.75" customHeight="1">
      <c r="A95" s="284">
        <v>3</v>
      </c>
      <c r="B95" s="132" t="s">
        <v>513</v>
      </c>
      <c r="C95" s="365" t="s">
        <v>362</v>
      </c>
      <c r="D95" s="282">
        <v>70</v>
      </c>
      <c r="E95" s="282">
        <f t="shared" si="12"/>
        <v>70</v>
      </c>
      <c r="F95" s="282">
        <v>0</v>
      </c>
      <c r="G95" s="132">
        <f t="shared" si="13"/>
        <v>70</v>
      </c>
      <c r="H95" s="95">
        <f t="shared" si="14"/>
        <v>70</v>
      </c>
      <c r="I95" s="282"/>
      <c r="J95" s="282"/>
      <c r="K95" s="282">
        <v>0</v>
      </c>
      <c r="L95" s="282">
        <v>70</v>
      </c>
      <c r="M95" s="282">
        <v>0</v>
      </c>
      <c r="N95" s="282"/>
      <c r="O95" s="117" t="s">
        <v>453</v>
      </c>
    </row>
    <row r="96" spans="1:15" ht="45.75" customHeight="1">
      <c r="A96" s="284">
        <v>4</v>
      </c>
      <c r="B96" s="132" t="s">
        <v>514</v>
      </c>
      <c r="C96" s="365" t="s">
        <v>362</v>
      </c>
      <c r="D96" s="282">
        <v>45</v>
      </c>
      <c r="E96" s="282">
        <f t="shared" si="12"/>
        <v>45</v>
      </c>
      <c r="F96" s="282">
        <v>0</v>
      </c>
      <c r="G96" s="132">
        <f t="shared" si="13"/>
        <v>45</v>
      </c>
      <c r="H96" s="95">
        <f t="shared" si="14"/>
        <v>45</v>
      </c>
      <c r="I96" s="282"/>
      <c r="J96" s="282"/>
      <c r="K96" s="282">
        <v>0</v>
      </c>
      <c r="L96" s="282">
        <v>45</v>
      </c>
      <c r="M96" s="282">
        <v>0</v>
      </c>
      <c r="N96" s="282"/>
      <c r="O96" s="117" t="s">
        <v>453</v>
      </c>
    </row>
    <row r="97" spans="1:15" ht="45.75" customHeight="1">
      <c r="A97" s="284">
        <v>5</v>
      </c>
      <c r="B97" s="132" t="s">
        <v>515</v>
      </c>
      <c r="C97" s="365" t="s">
        <v>362</v>
      </c>
      <c r="D97" s="282">
        <v>30</v>
      </c>
      <c r="E97" s="282">
        <f t="shared" si="12"/>
        <v>30</v>
      </c>
      <c r="F97" s="282">
        <v>0</v>
      </c>
      <c r="G97" s="132">
        <f t="shared" si="13"/>
        <v>30</v>
      </c>
      <c r="H97" s="95">
        <f t="shared" si="14"/>
        <v>30</v>
      </c>
      <c r="I97" s="282"/>
      <c r="J97" s="282"/>
      <c r="K97" s="282">
        <v>0</v>
      </c>
      <c r="L97" s="282">
        <v>30</v>
      </c>
      <c r="M97" s="282">
        <v>0</v>
      </c>
      <c r="N97" s="282"/>
      <c r="O97" s="117" t="s">
        <v>453</v>
      </c>
    </row>
    <row r="98" spans="1:15" ht="45.75" customHeight="1">
      <c r="A98" s="284">
        <v>6</v>
      </c>
      <c r="B98" s="132" t="s">
        <v>516</v>
      </c>
      <c r="C98" s="365" t="s">
        <v>362</v>
      </c>
      <c r="D98" s="282">
        <v>2000</v>
      </c>
      <c r="E98" s="282">
        <f t="shared" si="12"/>
        <v>2000</v>
      </c>
      <c r="F98" s="282">
        <v>0</v>
      </c>
      <c r="G98" s="132">
        <f t="shared" si="13"/>
        <v>2000</v>
      </c>
      <c r="H98" s="95">
        <f t="shared" si="14"/>
        <v>2000</v>
      </c>
      <c r="I98" s="282"/>
      <c r="J98" s="282"/>
      <c r="K98" s="282">
        <v>0</v>
      </c>
      <c r="L98" s="282">
        <v>2000</v>
      </c>
      <c r="M98" s="282">
        <v>0</v>
      </c>
      <c r="N98" s="282"/>
      <c r="O98" s="117" t="s">
        <v>517</v>
      </c>
    </row>
    <row r="99" spans="1:15" ht="23.25" customHeight="1">
      <c r="A99" s="78"/>
      <c r="B99" s="92"/>
      <c r="C99" s="78" t="s">
        <v>304</v>
      </c>
      <c r="D99" s="101">
        <f t="shared" ref="D99:N99" si="15">SUM(D93:D98)</f>
        <v>2370</v>
      </c>
      <c r="E99" s="101">
        <f t="shared" si="15"/>
        <v>2370</v>
      </c>
      <c r="F99" s="101">
        <f t="shared" si="15"/>
        <v>0</v>
      </c>
      <c r="G99" s="101">
        <f t="shared" si="15"/>
        <v>2370</v>
      </c>
      <c r="H99" s="101">
        <f t="shared" si="15"/>
        <v>2370</v>
      </c>
      <c r="I99" s="101">
        <f t="shared" si="15"/>
        <v>0</v>
      </c>
      <c r="J99" s="101">
        <f t="shared" si="15"/>
        <v>0</v>
      </c>
      <c r="K99" s="101">
        <f t="shared" si="15"/>
        <v>5</v>
      </c>
      <c r="L99" s="101">
        <f t="shared" si="15"/>
        <v>2365</v>
      </c>
      <c r="M99" s="101">
        <f t="shared" si="15"/>
        <v>0</v>
      </c>
      <c r="N99" s="101">
        <f t="shared" si="15"/>
        <v>0</v>
      </c>
      <c r="O99" s="94"/>
    </row>
    <row r="100" spans="1:15" ht="23.25" customHeight="1">
      <c r="A100" s="78"/>
      <c r="B100" s="92"/>
      <c r="C100" s="78"/>
      <c r="D100" s="125"/>
      <c r="E100" s="125"/>
      <c r="F100" s="125"/>
      <c r="G100" s="125"/>
      <c r="H100" s="125"/>
      <c r="I100" s="125"/>
      <c r="J100" s="125"/>
      <c r="K100" s="125"/>
      <c r="L100" s="125"/>
      <c r="M100" s="125"/>
      <c r="N100" s="125"/>
      <c r="O100" s="94"/>
    </row>
    <row r="101" spans="1:15" ht="23.25" customHeight="1">
      <c r="A101" s="78"/>
      <c r="B101" s="92"/>
      <c r="C101" s="78"/>
      <c r="D101" s="125"/>
      <c r="E101" s="125"/>
      <c r="F101" s="125"/>
      <c r="G101" s="125"/>
      <c r="H101" s="125"/>
      <c r="I101" s="125"/>
      <c r="J101" s="125"/>
      <c r="K101" s="125"/>
      <c r="L101" s="125"/>
      <c r="M101" s="125"/>
      <c r="N101" s="125"/>
      <c r="O101" s="94"/>
    </row>
    <row r="102" spans="1:15" s="98" customFormat="1" ht="33" customHeight="1" thickBot="1">
      <c r="A102" s="76" t="s">
        <v>518</v>
      </c>
      <c r="B102" s="9"/>
      <c r="C102" s="6"/>
      <c r="D102" s="9"/>
      <c r="E102" s="9"/>
      <c r="F102" s="9"/>
      <c r="G102" s="9"/>
      <c r="H102" s="6"/>
      <c r="I102" s="6"/>
      <c r="J102" s="6"/>
      <c r="K102" s="6"/>
      <c r="L102" s="49"/>
      <c r="M102" s="6"/>
      <c r="N102" s="102" t="s">
        <v>41</v>
      </c>
      <c r="O102" s="99"/>
    </row>
    <row r="103" spans="1:15" ht="48.75" thickBot="1">
      <c r="A103" s="185" t="s">
        <v>259</v>
      </c>
      <c r="B103" s="186" t="s">
        <v>260</v>
      </c>
      <c r="C103" s="187" t="s">
        <v>261</v>
      </c>
      <c r="D103" s="186" t="s">
        <v>262</v>
      </c>
      <c r="E103" s="188" t="s">
        <v>263</v>
      </c>
      <c r="F103" s="189" t="s">
        <v>264</v>
      </c>
      <c r="G103" s="189" t="s">
        <v>265</v>
      </c>
      <c r="H103" s="189" t="s">
        <v>266</v>
      </c>
      <c r="I103" s="86" t="s">
        <v>24</v>
      </c>
      <c r="J103" s="87" t="s">
        <v>25</v>
      </c>
      <c r="K103" s="190" t="s">
        <v>26</v>
      </c>
      <c r="L103" s="189" t="s">
        <v>27</v>
      </c>
      <c r="M103" s="189" t="s">
        <v>28</v>
      </c>
      <c r="N103" s="191" t="s">
        <v>267</v>
      </c>
      <c r="O103" s="84"/>
    </row>
    <row r="104" spans="1:15" ht="48">
      <c r="A104" s="88">
        <v>1</v>
      </c>
      <c r="B104" s="132" t="s">
        <v>519</v>
      </c>
      <c r="C104" s="198" t="s">
        <v>520</v>
      </c>
      <c r="D104" s="282">
        <v>73</v>
      </c>
      <c r="E104" s="282">
        <f>D104</f>
        <v>73</v>
      </c>
      <c r="F104" s="282">
        <v>0</v>
      </c>
      <c r="G104" s="132">
        <f>E104-F104</f>
        <v>73</v>
      </c>
      <c r="H104" s="95">
        <f>SUM(I104:N104)</f>
        <v>73</v>
      </c>
      <c r="I104" s="282"/>
      <c r="J104" s="282"/>
      <c r="K104" s="282"/>
      <c r="L104" s="282"/>
      <c r="M104" s="282">
        <v>73</v>
      </c>
      <c r="N104" s="282"/>
      <c r="O104" s="246" t="s">
        <v>517</v>
      </c>
    </row>
    <row r="105" spans="1:15" ht="48">
      <c r="A105" s="88">
        <v>2</v>
      </c>
      <c r="B105" s="132" t="s">
        <v>521</v>
      </c>
      <c r="C105" s="198" t="s">
        <v>520</v>
      </c>
      <c r="D105" s="282">
        <v>3</v>
      </c>
      <c r="E105" s="282">
        <f>D105</f>
        <v>3</v>
      </c>
      <c r="F105" s="282">
        <v>0</v>
      </c>
      <c r="G105" s="132">
        <f>E105-F105</f>
        <v>3</v>
      </c>
      <c r="H105" s="95">
        <f>SUM(I105:N105)</f>
        <v>3</v>
      </c>
      <c r="I105" s="282"/>
      <c r="J105" s="282"/>
      <c r="K105" s="282"/>
      <c r="L105" s="282"/>
      <c r="M105" s="282">
        <v>3</v>
      </c>
      <c r="N105" s="282"/>
      <c r="O105" s="246" t="s">
        <v>270</v>
      </c>
    </row>
    <row r="106" spans="1:15" s="103" customFormat="1" ht="20.25" customHeight="1">
      <c r="A106" s="6"/>
      <c r="B106" s="92"/>
      <c r="C106" s="78" t="s">
        <v>304</v>
      </c>
      <c r="D106" s="93">
        <f t="shared" ref="D106:N106" si="16">SUM(D104:D105)</f>
        <v>76</v>
      </c>
      <c r="E106" s="93">
        <f t="shared" si="16"/>
        <v>76</v>
      </c>
      <c r="F106" s="93">
        <f t="shared" si="16"/>
        <v>0</v>
      </c>
      <c r="G106" s="93">
        <f t="shared" si="16"/>
        <v>76</v>
      </c>
      <c r="H106" s="93">
        <f t="shared" si="16"/>
        <v>76</v>
      </c>
      <c r="I106" s="93">
        <f t="shared" si="16"/>
        <v>0</v>
      </c>
      <c r="J106" s="93">
        <f t="shared" si="16"/>
        <v>0</v>
      </c>
      <c r="K106" s="93">
        <f t="shared" si="16"/>
        <v>0</v>
      </c>
      <c r="L106" s="93">
        <f t="shared" si="16"/>
        <v>0</v>
      </c>
      <c r="M106" s="93">
        <f t="shared" si="16"/>
        <v>76</v>
      </c>
      <c r="N106" s="93">
        <f t="shared" si="16"/>
        <v>0</v>
      </c>
      <c r="O106" s="94"/>
    </row>
    <row r="107" spans="1:15" s="103" customFormat="1" ht="20.25" customHeight="1">
      <c r="A107" s="6"/>
      <c r="B107" s="92"/>
      <c r="C107" s="78"/>
      <c r="D107" s="9"/>
      <c r="E107" s="9"/>
      <c r="F107" s="9"/>
      <c r="G107" s="9"/>
      <c r="H107" s="9"/>
      <c r="I107" s="9"/>
      <c r="J107" s="9"/>
      <c r="K107" s="9"/>
      <c r="L107" s="9"/>
      <c r="M107" s="9"/>
      <c r="N107" s="9"/>
      <c r="O107" s="94"/>
    </row>
    <row r="108" spans="1:15" s="103" customFormat="1" ht="28.5" customHeight="1">
      <c r="A108" s="6"/>
      <c r="B108" s="92"/>
      <c r="C108" s="78"/>
      <c r="D108" s="9"/>
      <c r="E108" s="9"/>
      <c r="F108" s="9"/>
      <c r="G108" s="9"/>
      <c r="H108" s="9"/>
      <c r="I108" s="9"/>
      <c r="J108" s="9"/>
      <c r="K108" s="9"/>
      <c r="L108" s="9"/>
      <c r="M108" s="9"/>
      <c r="N108" s="9"/>
      <c r="O108" s="94"/>
    </row>
    <row r="109" spans="1:15" s="107" customFormat="1" ht="33.75" customHeight="1" thickBot="1">
      <c r="A109" s="76" t="s">
        <v>522</v>
      </c>
      <c r="B109" s="105"/>
      <c r="C109" s="105"/>
      <c r="D109" s="105"/>
      <c r="E109" s="105"/>
      <c r="F109" s="105"/>
      <c r="G109" s="105"/>
      <c r="H109" s="106"/>
      <c r="I109" s="106"/>
      <c r="J109" s="106"/>
      <c r="K109" s="106"/>
      <c r="L109" s="106"/>
      <c r="M109" s="106"/>
      <c r="N109" s="102" t="s">
        <v>41</v>
      </c>
      <c r="O109" s="94"/>
    </row>
    <row r="110" spans="1:15" ht="48.75" thickBot="1">
      <c r="A110" s="185" t="s">
        <v>259</v>
      </c>
      <c r="B110" s="186" t="s">
        <v>260</v>
      </c>
      <c r="C110" s="187" t="s">
        <v>261</v>
      </c>
      <c r="D110" s="186" t="s">
        <v>262</v>
      </c>
      <c r="E110" s="188" t="s">
        <v>263</v>
      </c>
      <c r="F110" s="189" t="s">
        <v>264</v>
      </c>
      <c r="G110" s="189" t="s">
        <v>265</v>
      </c>
      <c r="H110" s="189" t="s">
        <v>266</v>
      </c>
      <c r="I110" s="86" t="s">
        <v>24</v>
      </c>
      <c r="J110" s="87" t="s">
        <v>25</v>
      </c>
      <c r="K110" s="190" t="s">
        <v>26</v>
      </c>
      <c r="L110" s="189" t="s">
        <v>27</v>
      </c>
      <c r="M110" s="189" t="s">
        <v>28</v>
      </c>
      <c r="N110" s="191" t="s">
        <v>267</v>
      </c>
      <c r="O110" s="84"/>
    </row>
    <row r="111" spans="1:15" s="9" customFormat="1" ht="47.25" customHeight="1">
      <c r="A111" s="284">
        <v>1</v>
      </c>
      <c r="B111" s="132" t="s">
        <v>523</v>
      </c>
      <c r="C111" s="281" t="s">
        <v>300</v>
      </c>
      <c r="D111" s="89">
        <v>200</v>
      </c>
      <c r="E111" s="89">
        <f>D111</f>
        <v>200</v>
      </c>
      <c r="F111" s="89">
        <v>0</v>
      </c>
      <c r="G111" s="89">
        <f>E111-F111</f>
        <v>200</v>
      </c>
      <c r="H111" s="90">
        <f>SUM(I111:N111)</f>
        <v>200</v>
      </c>
      <c r="I111" s="91"/>
      <c r="J111" s="91"/>
      <c r="K111" s="91"/>
      <c r="L111" s="283"/>
      <c r="M111" s="91">
        <v>200</v>
      </c>
      <c r="N111" s="91">
        <v>0</v>
      </c>
      <c r="O111" s="246" t="s">
        <v>453</v>
      </c>
    </row>
    <row r="112" spans="1:15" s="9" customFormat="1" ht="47.25" customHeight="1">
      <c r="A112" s="284">
        <v>2</v>
      </c>
      <c r="B112" s="132" t="s">
        <v>524</v>
      </c>
      <c r="C112" s="281" t="s">
        <v>300</v>
      </c>
      <c r="D112" s="89">
        <v>550</v>
      </c>
      <c r="E112" s="89">
        <f>D112</f>
        <v>550</v>
      </c>
      <c r="F112" s="89">
        <v>0</v>
      </c>
      <c r="G112" s="89">
        <f>E112-F112</f>
        <v>550</v>
      </c>
      <c r="H112" s="90">
        <f>SUM(I112:N112)</f>
        <v>550</v>
      </c>
      <c r="I112" s="91"/>
      <c r="J112" s="91"/>
      <c r="K112" s="91"/>
      <c r="L112" s="283"/>
      <c r="M112" s="91">
        <v>550</v>
      </c>
      <c r="N112" s="91">
        <v>0</v>
      </c>
      <c r="O112" s="246" t="s">
        <v>453</v>
      </c>
    </row>
    <row r="113" spans="1:15" s="9" customFormat="1" ht="47.25" customHeight="1">
      <c r="A113" s="284">
        <v>3</v>
      </c>
      <c r="B113" s="132" t="s">
        <v>525</v>
      </c>
      <c r="C113" s="281" t="s">
        <v>300</v>
      </c>
      <c r="D113" s="89">
        <v>200</v>
      </c>
      <c r="E113" s="89">
        <f>D113</f>
        <v>200</v>
      </c>
      <c r="F113" s="89">
        <v>0</v>
      </c>
      <c r="G113" s="89">
        <f>E113-F113</f>
        <v>200</v>
      </c>
      <c r="H113" s="90">
        <f>SUM(I113:N113)</f>
        <v>200</v>
      </c>
      <c r="I113" s="91"/>
      <c r="J113" s="91"/>
      <c r="K113" s="91"/>
      <c r="L113" s="283"/>
      <c r="M113" s="91">
        <v>200</v>
      </c>
      <c r="N113" s="91">
        <v>0</v>
      </c>
      <c r="O113" s="246" t="s">
        <v>453</v>
      </c>
    </row>
    <row r="114" spans="1:15" s="9" customFormat="1" ht="47.25" customHeight="1">
      <c r="A114" s="284">
        <v>4</v>
      </c>
      <c r="B114" s="132" t="s">
        <v>526</v>
      </c>
      <c r="C114" s="281" t="s">
        <v>300</v>
      </c>
      <c r="D114" s="89">
        <f>30+100</f>
        <v>130</v>
      </c>
      <c r="E114" s="89">
        <f>D114</f>
        <v>130</v>
      </c>
      <c r="F114" s="89">
        <v>30</v>
      </c>
      <c r="G114" s="89">
        <f>E114-F114</f>
        <v>100</v>
      </c>
      <c r="H114" s="90">
        <f>SUM(I114:N114)</f>
        <v>100</v>
      </c>
      <c r="I114" s="91"/>
      <c r="J114" s="91"/>
      <c r="K114" s="91"/>
      <c r="L114" s="283"/>
      <c r="M114" s="91">
        <v>100</v>
      </c>
      <c r="N114" s="91">
        <v>0</v>
      </c>
      <c r="O114" s="246" t="s">
        <v>453</v>
      </c>
    </row>
    <row r="115" spans="1:15" s="9" customFormat="1" ht="47.25" customHeight="1">
      <c r="A115" s="284">
        <v>5</v>
      </c>
      <c r="B115" s="132" t="s">
        <v>527</v>
      </c>
      <c r="C115" s="281" t="s">
        <v>300</v>
      </c>
      <c r="D115" s="89">
        <f>108+500</f>
        <v>608</v>
      </c>
      <c r="E115" s="89">
        <f>D115</f>
        <v>608</v>
      </c>
      <c r="F115" s="89">
        <v>108</v>
      </c>
      <c r="G115" s="89">
        <f>E115-F115</f>
        <v>500</v>
      </c>
      <c r="H115" s="90">
        <f>SUM(I115:N115)</f>
        <v>500</v>
      </c>
      <c r="I115" s="91"/>
      <c r="J115" s="91"/>
      <c r="K115" s="91"/>
      <c r="L115" s="283"/>
      <c r="M115" s="91">
        <v>500</v>
      </c>
      <c r="N115" s="91">
        <v>0</v>
      </c>
      <c r="O115" s="246" t="s">
        <v>453</v>
      </c>
    </row>
    <row r="116" spans="1:15" ht="24" customHeight="1">
      <c r="A116" s="105"/>
      <c r="B116" s="106"/>
      <c r="C116" s="79" t="s">
        <v>304</v>
      </c>
      <c r="D116" s="108">
        <f>SUM(D111:D115)</f>
        <v>1688</v>
      </c>
      <c r="E116" s="108">
        <f t="shared" ref="E116:N116" si="17">SUM(E111:E115)</f>
        <v>1688</v>
      </c>
      <c r="F116" s="108">
        <f t="shared" si="17"/>
        <v>138</v>
      </c>
      <c r="G116" s="108">
        <f t="shared" si="17"/>
        <v>1550</v>
      </c>
      <c r="H116" s="108">
        <f t="shared" si="17"/>
        <v>1550</v>
      </c>
      <c r="I116" s="108">
        <f t="shared" si="17"/>
        <v>0</v>
      </c>
      <c r="J116" s="108">
        <f t="shared" si="17"/>
        <v>0</v>
      </c>
      <c r="K116" s="108">
        <f t="shared" si="17"/>
        <v>0</v>
      </c>
      <c r="L116" s="108">
        <f t="shared" si="17"/>
        <v>0</v>
      </c>
      <c r="M116" s="108">
        <f t="shared" si="17"/>
        <v>1550</v>
      </c>
      <c r="N116" s="108">
        <f t="shared" si="17"/>
        <v>0</v>
      </c>
      <c r="O116" s="109"/>
    </row>
    <row r="117" spans="1:15" ht="26.25" customHeight="1">
      <c r="A117" s="105"/>
      <c r="B117" s="106"/>
      <c r="C117" s="79"/>
      <c r="D117" s="275"/>
      <c r="E117" s="275"/>
      <c r="F117" s="275"/>
      <c r="G117" s="275"/>
      <c r="H117" s="275"/>
      <c r="I117" s="275"/>
      <c r="J117" s="275"/>
      <c r="K117" s="275"/>
      <c r="L117" s="275"/>
      <c r="M117" s="275"/>
      <c r="N117" s="275"/>
      <c r="O117" s="109"/>
    </row>
    <row r="118" spans="1:15" ht="26.25" customHeight="1">
      <c r="A118" s="105"/>
      <c r="B118" s="106"/>
      <c r="C118" s="79"/>
      <c r="D118" s="275"/>
      <c r="E118" s="275"/>
      <c r="F118" s="275"/>
      <c r="G118" s="275"/>
      <c r="H118" s="275"/>
      <c r="I118" s="275"/>
      <c r="J118" s="275"/>
      <c r="K118" s="275"/>
      <c r="L118" s="275"/>
      <c r="M118" s="275"/>
      <c r="N118" s="275"/>
      <c r="O118" s="109"/>
    </row>
    <row r="119" spans="1:15" s="74" customFormat="1" ht="30.75" customHeight="1" thickBot="1">
      <c r="A119" s="70" t="s">
        <v>416</v>
      </c>
      <c r="C119" s="71"/>
      <c r="D119" s="4"/>
      <c r="E119" s="72"/>
      <c r="F119" s="4"/>
      <c r="G119" s="4"/>
      <c r="H119" s="4"/>
      <c r="I119" s="4"/>
      <c r="J119" s="4"/>
      <c r="K119" s="4"/>
      <c r="M119" s="110"/>
      <c r="N119" s="73" t="s">
        <v>41</v>
      </c>
    </row>
    <row r="120" spans="1:15" ht="48.75" customHeight="1" thickBot="1">
      <c r="A120" s="185" t="s">
        <v>259</v>
      </c>
      <c r="B120" s="186" t="s">
        <v>260</v>
      </c>
      <c r="C120" s="187" t="s">
        <v>261</v>
      </c>
      <c r="D120" s="186" t="s">
        <v>262</v>
      </c>
      <c r="E120" s="188" t="s">
        <v>263</v>
      </c>
      <c r="F120" s="189" t="s">
        <v>264</v>
      </c>
      <c r="G120" s="189" t="s">
        <v>265</v>
      </c>
      <c r="H120" s="189" t="s">
        <v>266</v>
      </c>
      <c r="I120" s="86" t="s">
        <v>24</v>
      </c>
      <c r="J120" s="87" t="s">
        <v>25</v>
      </c>
      <c r="K120" s="190" t="s">
        <v>26</v>
      </c>
      <c r="L120" s="189" t="s">
        <v>27</v>
      </c>
      <c r="M120" s="189" t="s">
        <v>28</v>
      </c>
      <c r="N120" s="191" t="s">
        <v>267</v>
      </c>
      <c r="O120" s="84"/>
    </row>
    <row r="121" spans="1:15" ht="47.25" customHeight="1">
      <c r="A121" s="284">
        <v>1</v>
      </c>
      <c r="B121" s="133" t="s">
        <v>528</v>
      </c>
      <c r="C121" s="195" t="s">
        <v>269</v>
      </c>
      <c r="D121" s="89">
        <v>6</v>
      </c>
      <c r="E121" s="89">
        <f>D121</f>
        <v>6</v>
      </c>
      <c r="F121" s="89">
        <v>0</v>
      </c>
      <c r="G121" s="89">
        <f>E121-F121</f>
        <v>6</v>
      </c>
      <c r="H121" s="90">
        <f>SUM(I121:N121)</f>
        <v>6</v>
      </c>
      <c r="I121" s="91">
        <v>6</v>
      </c>
      <c r="J121" s="91"/>
      <c r="K121" s="91">
        <v>0</v>
      </c>
      <c r="L121" s="283"/>
      <c r="M121" s="91">
        <v>0</v>
      </c>
      <c r="N121" s="91"/>
      <c r="O121" s="246" t="s">
        <v>453</v>
      </c>
    </row>
    <row r="122" spans="1:15" ht="47.25" customHeight="1">
      <c r="A122" s="284">
        <v>2</v>
      </c>
      <c r="B122" s="133" t="s">
        <v>529</v>
      </c>
      <c r="C122" s="195" t="s">
        <v>269</v>
      </c>
      <c r="D122" s="89">
        <v>6</v>
      </c>
      <c r="E122" s="89">
        <f>D122</f>
        <v>6</v>
      </c>
      <c r="F122" s="89">
        <v>0</v>
      </c>
      <c r="G122" s="89">
        <f>E122-F122</f>
        <v>6</v>
      </c>
      <c r="H122" s="90">
        <f>SUM(I122:N122)</f>
        <v>6</v>
      </c>
      <c r="I122" s="91">
        <v>6</v>
      </c>
      <c r="J122" s="91"/>
      <c r="K122" s="91">
        <v>0</v>
      </c>
      <c r="L122" s="283"/>
      <c r="M122" s="91">
        <v>0</v>
      </c>
      <c r="N122" s="91"/>
      <c r="O122" s="246" t="s">
        <v>453</v>
      </c>
    </row>
    <row r="123" spans="1:15" ht="45" customHeight="1">
      <c r="A123" s="284">
        <v>3</v>
      </c>
      <c r="B123" s="133" t="s">
        <v>530</v>
      </c>
      <c r="C123" s="195" t="s">
        <v>300</v>
      </c>
      <c r="D123" s="89">
        <v>26930</v>
      </c>
      <c r="E123" s="89">
        <f>D123</f>
        <v>26930</v>
      </c>
      <c r="F123" s="89">
        <v>0</v>
      </c>
      <c r="G123" s="89">
        <f>E123-F123</f>
        <v>26930</v>
      </c>
      <c r="H123" s="90">
        <f>SUM(I123:N123)</f>
        <v>26930</v>
      </c>
      <c r="I123" s="91">
        <v>26930</v>
      </c>
      <c r="J123" s="91"/>
      <c r="K123" s="91">
        <v>0</v>
      </c>
      <c r="L123" s="283"/>
      <c r="M123" s="91">
        <v>0</v>
      </c>
      <c r="N123" s="91"/>
      <c r="O123" s="246" t="s">
        <v>453</v>
      </c>
    </row>
    <row r="124" spans="1:15" ht="21.75" customHeight="1">
      <c r="A124" s="99"/>
      <c r="B124" s="143"/>
      <c r="C124" s="78" t="s">
        <v>304</v>
      </c>
      <c r="D124" s="93">
        <f>SUM(D121:D123)</f>
        <v>26942</v>
      </c>
      <c r="E124" s="93">
        <f t="shared" ref="E124:N124" si="18">SUM(E121:E123)</f>
        <v>26942</v>
      </c>
      <c r="F124" s="93">
        <f t="shared" si="18"/>
        <v>0</v>
      </c>
      <c r="G124" s="93">
        <f t="shared" si="18"/>
        <v>26942</v>
      </c>
      <c r="H124" s="93">
        <f t="shared" si="18"/>
        <v>26942</v>
      </c>
      <c r="I124" s="93">
        <f t="shared" si="18"/>
        <v>26942</v>
      </c>
      <c r="J124" s="93">
        <f t="shared" si="18"/>
        <v>0</v>
      </c>
      <c r="K124" s="93">
        <f t="shared" si="18"/>
        <v>0</v>
      </c>
      <c r="L124" s="93">
        <f t="shared" si="18"/>
        <v>0</v>
      </c>
      <c r="M124" s="93">
        <f t="shared" si="18"/>
        <v>0</v>
      </c>
      <c r="N124" s="93">
        <f t="shared" si="18"/>
        <v>0</v>
      </c>
    </row>
    <row r="125" spans="1:15" ht="34.5" customHeight="1">
      <c r="A125" s="99"/>
      <c r="B125" s="143"/>
      <c r="C125" s="78"/>
      <c r="D125" s="9"/>
      <c r="E125" s="9"/>
      <c r="F125" s="9"/>
      <c r="G125" s="9"/>
      <c r="H125" s="9"/>
      <c r="I125" s="9"/>
      <c r="J125" s="9"/>
      <c r="K125" s="9"/>
      <c r="L125" s="9"/>
      <c r="M125" s="9"/>
      <c r="N125" s="9"/>
    </row>
    <row r="126" spans="1:15" ht="27.75" hidden="1" customHeight="1">
      <c r="A126" s="99"/>
      <c r="B126" s="143"/>
      <c r="C126" s="78"/>
      <c r="D126" s="9"/>
      <c r="E126" s="9"/>
      <c r="F126" s="9"/>
      <c r="G126" s="9"/>
      <c r="H126" s="9"/>
      <c r="I126" s="9"/>
      <c r="J126" s="9"/>
      <c r="K126" s="9"/>
      <c r="L126" s="9"/>
      <c r="M126" s="9"/>
      <c r="N126" s="9"/>
    </row>
    <row r="127" spans="1:15" ht="27.75" hidden="1" customHeight="1">
      <c r="A127" s="99"/>
      <c r="B127" s="143"/>
      <c r="C127" s="78"/>
      <c r="D127" s="9"/>
      <c r="E127" s="9"/>
      <c r="F127" s="9"/>
      <c r="G127" s="9"/>
      <c r="H127" s="9"/>
      <c r="I127" s="9"/>
      <c r="J127" s="9"/>
      <c r="K127" s="9"/>
      <c r="L127" s="9"/>
      <c r="M127" s="9"/>
      <c r="N127" s="9"/>
    </row>
    <row r="128" spans="1:15" s="75" customFormat="1" ht="27.75" hidden="1" customHeight="1" thickBot="1">
      <c r="A128" s="9" t="s">
        <v>531</v>
      </c>
      <c r="B128" s="92"/>
      <c r="C128" s="78"/>
      <c r="D128" s="9"/>
      <c r="E128" s="9"/>
      <c r="F128" s="9"/>
      <c r="G128" s="9"/>
      <c r="H128" s="9"/>
      <c r="I128" s="9"/>
      <c r="J128" s="9"/>
      <c r="K128" s="9"/>
      <c r="L128" s="9"/>
      <c r="M128" s="9"/>
      <c r="N128" s="73" t="s">
        <v>41</v>
      </c>
      <c r="O128" s="94"/>
    </row>
    <row r="129" spans="1:15" s="75" customFormat="1" ht="48.75" hidden="1" thickBot="1">
      <c r="A129" s="185" t="s">
        <v>259</v>
      </c>
      <c r="B129" s="186" t="s">
        <v>260</v>
      </c>
      <c r="C129" s="187" t="s">
        <v>261</v>
      </c>
      <c r="D129" s="186" t="s">
        <v>262</v>
      </c>
      <c r="E129" s="188" t="s">
        <v>263</v>
      </c>
      <c r="F129" s="189" t="s">
        <v>264</v>
      </c>
      <c r="G129" s="189" t="s">
        <v>265</v>
      </c>
      <c r="H129" s="189" t="s">
        <v>266</v>
      </c>
      <c r="I129" s="86" t="s">
        <v>24</v>
      </c>
      <c r="J129" s="87" t="s">
        <v>25</v>
      </c>
      <c r="K129" s="190" t="s">
        <v>26</v>
      </c>
      <c r="L129" s="189" t="s">
        <v>27</v>
      </c>
      <c r="M129" s="189" t="s">
        <v>28</v>
      </c>
      <c r="N129" s="191" t="s">
        <v>267</v>
      </c>
      <c r="O129" s="94"/>
    </row>
    <row r="130" spans="1:15" hidden="1">
      <c r="A130" s="88">
        <v>1</v>
      </c>
      <c r="B130" s="132"/>
      <c r="C130" s="195"/>
      <c r="D130" s="282">
        <v>0</v>
      </c>
      <c r="E130" s="282">
        <f>D130</f>
        <v>0</v>
      </c>
      <c r="F130" s="282">
        <v>0</v>
      </c>
      <c r="G130" s="132">
        <f>E130-F130</f>
        <v>0</v>
      </c>
      <c r="H130" s="95">
        <f>SUM(I130:N130)</f>
        <v>0</v>
      </c>
      <c r="I130" s="282"/>
      <c r="J130" s="282"/>
      <c r="K130" s="282">
        <v>0</v>
      </c>
      <c r="L130" s="282"/>
      <c r="M130" s="282">
        <v>0</v>
      </c>
      <c r="N130" s="282"/>
      <c r="O130" s="246" t="s">
        <v>532</v>
      </c>
    </row>
    <row r="131" spans="1:15" s="75" customFormat="1" hidden="1">
      <c r="A131" s="78"/>
      <c r="B131" s="78"/>
      <c r="C131" s="78" t="s">
        <v>304</v>
      </c>
      <c r="D131" s="93">
        <f t="shared" ref="D131:N131" si="19">SUM(D130:D130)</f>
        <v>0</v>
      </c>
      <c r="E131" s="93">
        <f t="shared" si="19"/>
        <v>0</v>
      </c>
      <c r="F131" s="93">
        <f t="shared" si="19"/>
        <v>0</v>
      </c>
      <c r="G131" s="93">
        <f t="shared" si="19"/>
        <v>0</v>
      </c>
      <c r="H131" s="93">
        <f t="shared" si="19"/>
        <v>0</v>
      </c>
      <c r="I131" s="93">
        <f t="shared" si="19"/>
        <v>0</v>
      </c>
      <c r="J131" s="93">
        <f t="shared" si="19"/>
        <v>0</v>
      </c>
      <c r="K131" s="93">
        <f t="shared" si="19"/>
        <v>0</v>
      </c>
      <c r="L131" s="93">
        <f t="shared" si="19"/>
        <v>0</v>
      </c>
      <c r="M131" s="93">
        <f t="shared" si="19"/>
        <v>0</v>
      </c>
      <c r="N131" s="93">
        <f t="shared" si="19"/>
        <v>0</v>
      </c>
      <c r="O131" s="82"/>
    </row>
    <row r="132" spans="1:15" s="75" customFormat="1" ht="15.75" hidden="1" customHeight="1">
      <c r="A132" s="78"/>
      <c r="B132" s="78"/>
      <c r="C132" s="78"/>
      <c r="D132" s="9"/>
      <c r="E132" s="9"/>
      <c r="F132" s="9"/>
      <c r="G132" s="9"/>
      <c r="H132" s="9"/>
      <c r="I132" s="9"/>
      <c r="J132" s="9"/>
      <c r="K132" s="9"/>
      <c r="L132" s="9"/>
      <c r="M132" s="9"/>
      <c r="N132" s="9"/>
      <c r="O132" s="82"/>
    </row>
    <row r="133" spans="1:15" s="75" customFormat="1" ht="27" customHeight="1" thickBot="1">
      <c r="A133" s="9" t="s">
        <v>422</v>
      </c>
      <c r="B133" s="92"/>
      <c r="C133" s="78"/>
      <c r="D133" s="9"/>
      <c r="E133" s="9"/>
      <c r="F133" s="9"/>
      <c r="G133" s="9"/>
      <c r="H133" s="9"/>
      <c r="I133" s="9"/>
      <c r="J133" s="9"/>
      <c r="K133" s="9"/>
      <c r="L133" s="9"/>
      <c r="M133" s="9"/>
      <c r="N133" s="9"/>
      <c r="O133" s="94"/>
    </row>
    <row r="134" spans="1:15" s="75" customFormat="1" ht="49.5" customHeight="1" thickBot="1">
      <c r="A134" s="185" t="s">
        <v>259</v>
      </c>
      <c r="B134" s="186" t="s">
        <v>260</v>
      </c>
      <c r="C134" s="187" t="s">
        <v>261</v>
      </c>
      <c r="D134" s="186" t="s">
        <v>262</v>
      </c>
      <c r="E134" s="188" t="s">
        <v>263</v>
      </c>
      <c r="F134" s="189" t="s">
        <v>264</v>
      </c>
      <c r="G134" s="189" t="s">
        <v>265</v>
      </c>
      <c r="H134" s="189" t="s">
        <v>266</v>
      </c>
      <c r="I134" s="86" t="s">
        <v>24</v>
      </c>
      <c r="J134" s="87" t="s">
        <v>25</v>
      </c>
      <c r="K134" s="190" t="s">
        <v>26</v>
      </c>
      <c r="L134" s="189" t="s">
        <v>27</v>
      </c>
      <c r="M134" s="189" t="s">
        <v>28</v>
      </c>
      <c r="N134" s="191" t="s">
        <v>267</v>
      </c>
      <c r="O134" s="94"/>
    </row>
    <row r="135" spans="1:15" s="75" customFormat="1" ht="59.25" customHeight="1">
      <c r="A135" s="88">
        <v>1</v>
      </c>
      <c r="B135" s="132" t="s">
        <v>533</v>
      </c>
      <c r="C135" s="353" t="s">
        <v>289</v>
      </c>
      <c r="D135" s="89">
        <v>5</v>
      </c>
      <c r="E135" s="89">
        <f>D135</f>
        <v>5</v>
      </c>
      <c r="F135" s="89">
        <v>0</v>
      </c>
      <c r="G135" s="89">
        <f>E135-F135</f>
        <v>5</v>
      </c>
      <c r="H135" s="90">
        <f>SUM(J135:N135)</f>
        <v>5</v>
      </c>
      <c r="I135" s="91"/>
      <c r="J135" s="91"/>
      <c r="K135" s="91"/>
      <c r="L135" s="283"/>
      <c r="M135" s="282">
        <v>5</v>
      </c>
      <c r="N135" s="91"/>
      <c r="O135" s="246" t="s">
        <v>453</v>
      </c>
    </row>
    <row r="136" spans="1:15" s="75" customFormat="1" ht="59.25" customHeight="1">
      <c r="A136" s="88">
        <v>2</v>
      </c>
      <c r="B136" s="132" t="s">
        <v>534</v>
      </c>
      <c r="C136" s="353" t="s">
        <v>289</v>
      </c>
      <c r="D136" s="89">
        <f>24+1+3+13</f>
        <v>41</v>
      </c>
      <c r="E136" s="89">
        <f>D136</f>
        <v>41</v>
      </c>
      <c r="F136" s="89">
        <v>24</v>
      </c>
      <c r="G136" s="89">
        <f>E136-F136</f>
        <v>17</v>
      </c>
      <c r="H136" s="90">
        <f>SUM(J136:N136)</f>
        <v>17</v>
      </c>
      <c r="I136" s="91"/>
      <c r="J136" s="91"/>
      <c r="K136" s="91">
        <f>1+3+13</f>
        <v>17</v>
      </c>
      <c r="L136" s="283"/>
      <c r="M136" s="282"/>
      <c r="N136" s="91"/>
      <c r="O136" s="246" t="s">
        <v>453</v>
      </c>
    </row>
    <row r="137" spans="1:15" s="75" customFormat="1" ht="59.25" customHeight="1">
      <c r="A137" s="88">
        <v>3</v>
      </c>
      <c r="B137" s="132" t="s">
        <v>535</v>
      </c>
      <c r="C137" s="353" t="s">
        <v>289</v>
      </c>
      <c r="D137" s="89">
        <f>10+1+1+6</f>
        <v>18</v>
      </c>
      <c r="E137" s="89">
        <f>D137</f>
        <v>18</v>
      </c>
      <c r="F137" s="89">
        <v>10</v>
      </c>
      <c r="G137" s="89">
        <f>E137-F137</f>
        <v>8</v>
      </c>
      <c r="H137" s="90">
        <f>SUM(J137:N137)</f>
        <v>8</v>
      </c>
      <c r="I137" s="91"/>
      <c r="J137" s="91"/>
      <c r="K137" s="91">
        <v>8</v>
      </c>
      <c r="L137" s="283"/>
      <c r="M137" s="282"/>
      <c r="N137" s="91"/>
      <c r="O137" s="246" t="s">
        <v>453</v>
      </c>
    </row>
    <row r="138" spans="1:15" s="75" customFormat="1" ht="59.25" customHeight="1">
      <c r="A138" s="88">
        <v>4</v>
      </c>
      <c r="B138" s="132" t="s">
        <v>536</v>
      </c>
      <c r="C138" s="353" t="s">
        <v>289</v>
      </c>
      <c r="D138" s="89">
        <v>8</v>
      </c>
      <c r="E138" s="89">
        <f>D138</f>
        <v>8</v>
      </c>
      <c r="F138" s="89">
        <v>0</v>
      </c>
      <c r="G138" s="89">
        <f>E138-F138</f>
        <v>8</v>
      </c>
      <c r="H138" s="90">
        <f>SUM(J138:N138)</f>
        <v>8</v>
      </c>
      <c r="I138" s="91"/>
      <c r="J138" s="91"/>
      <c r="K138" s="91"/>
      <c r="L138" s="283"/>
      <c r="M138" s="282">
        <v>1</v>
      </c>
      <c r="N138" s="91">
        <v>7</v>
      </c>
      <c r="O138" s="246" t="s">
        <v>453</v>
      </c>
    </row>
    <row r="139" spans="1:15" s="75" customFormat="1" ht="20.25" customHeight="1">
      <c r="A139" s="78"/>
      <c r="B139" s="78"/>
      <c r="C139" s="78" t="s">
        <v>304</v>
      </c>
      <c r="D139" s="93">
        <f>SUM(D135:D138)</f>
        <v>72</v>
      </c>
      <c r="E139" s="93">
        <f t="shared" ref="E139:N139" si="20">SUM(E135:E138)</f>
        <v>72</v>
      </c>
      <c r="F139" s="93">
        <f t="shared" si="20"/>
        <v>34</v>
      </c>
      <c r="G139" s="93">
        <f t="shared" si="20"/>
        <v>38</v>
      </c>
      <c r="H139" s="93">
        <f t="shared" si="20"/>
        <v>38</v>
      </c>
      <c r="I139" s="93">
        <f t="shared" si="20"/>
        <v>0</v>
      </c>
      <c r="J139" s="93">
        <f t="shared" si="20"/>
        <v>0</v>
      </c>
      <c r="K139" s="93">
        <f t="shared" si="20"/>
        <v>25</v>
      </c>
      <c r="L139" s="93">
        <f t="shared" si="20"/>
        <v>0</v>
      </c>
      <c r="M139" s="93">
        <f t="shared" si="20"/>
        <v>6</v>
      </c>
      <c r="N139" s="93">
        <f t="shared" si="20"/>
        <v>7</v>
      </c>
      <c r="O139" s="82"/>
    </row>
    <row r="140" spans="1:15" s="75" customFormat="1" ht="29.25" customHeight="1">
      <c r="A140" s="78"/>
      <c r="B140" s="78"/>
      <c r="C140" s="78"/>
      <c r="D140" s="9"/>
      <c r="E140" s="9"/>
      <c r="F140" s="9"/>
      <c r="G140" s="9"/>
      <c r="H140" s="9"/>
      <c r="I140" s="9"/>
      <c r="J140" s="9"/>
      <c r="K140" s="9"/>
      <c r="L140" s="9"/>
      <c r="M140" s="9"/>
      <c r="N140" s="9"/>
      <c r="O140" s="82"/>
    </row>
    <row r="141" spans="1:15" s="75" customFormat="1" ht="29.25" customHeight="1">
      <c r="A141" s="78"/>
      <c r="B141" s="78"/>
      <c r="C141" s="78"/>
      <c r="D141" s="9"/>
      <c r="E141" s="9"/>
      <c r="F141" s="9"/>
      <c r="G141" s="9"/>
      <c r="H141" s="9"/>
      <c r="I141" s="9"/>
      <c r="J141" s="9"/>
      <c r="K141" s="9"/>
      <c r="L141" s="9"/>
      <c r="M141" s="9"/>
      <c r="N141" s="9"/>
      <c r="O141" s="82"/>
    </row>
    <row r="142" spans="1:15" s="75" customFormat="1" ht="29.25" customHeight="1">
      <c r="A142" s="78"/>
      <c r="B142" s="78"/>
      <c r="C142" s="78"/>
      <c r="D142" s="9"/>
      <c r="E142" s="9"/>
      <c r="F142" s="9"/>
      <c r="G142" s="9"/>
      <c r="H142" s="9"/>
      <c r="I142" s="9"/>
      <c r="J142" s="9"/>
      <c r="K142" s="9"/>
      <c r="L142" s="9"/>
      <c r="M142" s="9"/>
      <c r="N142" s="9"/>
      <c r="O142" s="82"/>
    </row>
    <row r="143" spans="1:15" s="75" customFormat="1" ht="31.5" customHeight="1" thickBot="1">
      <c r="A143" s="70" t="s">
        <v>433</v>
      </c>
      <c r="B143" s="74"/>
      <c r="C143" s="71"/>
      <c r="D143" s="4"/>
      <c r="E143" s="72"/>
      <c r="F143" s="4"/>
      <c r="G143" s="4"/>
      <c r="H143" s="4"/>
      <c r="I143" s="4"/>
      <c r="J143" s="4"/>
      <c r="K143" s="4"/>
      <c r="L143" s="73" t="s">
        <v>41</v>
      </c>
      <c r="M143" s="67"/>
      <c r="N143" s="74"/>
      <c r="O143" s="111"/>
    </row>
    <row r="144" spans="1:15" s="75" customFormat="1" ht="48.75" thickBot="1">
      <c r="A144" s="185" t="s">
        <v>259</v>
      </c>
      <c r="B144" s="186" t="s">
        <v>260</v>
      </c>
      <c r="C144" s="187" t="s">
        <v>261</v>
      </c>
      <c r="D144" s="186" t="s">
        <v>262</v>
      </c>
      <c r="E144" s="188" t="s">
        <v>263</v>
      </c>
      <c r="F144" s="189" t="s">
        <v>264</v>
      </c>
      <c r="G144" s="189" t="s">
        <v>265</v>
      </c>
      <c r="H144" s="189" t="s">
        <v>266</v>
      </c>
      <c r="I144" s="86" t="s">
        <v>24</v>
      </c>
      <c r="J144" s="87" t="s">
        <v>25</v>
      </c>
      <c r="K144" s="190" t="s">
        <v>26</v>
      </c>
      <c r="L144" s="189" t="s">
        <v>27</v>
      </c>
      <c r="M144" s="189" t="s">
        <v>28</v>
      </c>
      <c r="N144" s="191" t="s">
        <v>267</v>
      </c>
      <c r="O144" s="112"/>
    </row>
    <row r="145" spans="1:15" s="75" customFormat="1" ht="89.25" customHeight="1">
      <c r="A145" s="284">
        <v>1</v>
      </c>
      <c r="B145" s="366" t="s">
        <v>537</v>
      </c>
      <c r="C145" s="195" t="s">
        <v>269</v>
      </c>
      <c r="D145" s="89">
        <f>2189-200</f>
        <v>1989</v>
      </c>
      <c r="E145" s="89">
        <f t="shared" ref="E145:E151" si="21">D145</f>
        <v>1989</v>
      </c>
      <c r="F145" s="89">
        <v>0</v>
      </c>
      <c r="G145" s="89">
        <f t="shared" ref="G145:G151" si="22">E145-F145</f>
        <v>1989</v>
      </c>
      <c r="H145" s="90">
        <f>SUM(I145:N145)</f>
        <v>1974</v>
      </c>
      <c r="I145" s="91">
        <f>2174-200</f>
        <v>1974</v>
      </c>
      <c r="J145" s="91"/>
      <c r="K145" s="91"/>
      <c r="L145" s="283"/>
      <c r="M145" s="91"/>
      <c r="N145" s="91"/>
      <c r="O145" s="246" t="s">
        <v>453</v>
      </c>
    </row>
    <row r="146" spans="1:15" s="75" customFormat="1" ht="77.25" customHeight="1">
      <c r="A146" s="284">
        <v>2</v>
      </c>
      <c r="B146" s="366" t="s">
        <v>538</v>
      </c>
      <c r="C146" s="195" t="s">
        <v>269</v>
      </c>
      <c r="D146" s="89">
        <v>6</v>
      </c>
      <c r="E146" s="89">
        <f>D146</f>
        <v>6</v>
      </c>
      <c r="F146" s="89">
        <v>0</v>
      </c>
      <c r="G146" s="89">
        <f>E146-F146</f>
        <v>6</v>
      </c>
      <c r="H146" s="90">
        <f>SUM(I146:N146)</f>
        <v>6</v>
      </c>
      <c r="I146" s="91"/>
      <c r="J146" s="91"/>
      <c r="K146" s="91"/>
      <c r="L146" s="283"/>
      <c r="M146" s="91">
        <v>6</v>
      </c>
      <c r="N146" s="91"/>
      <c r="O146" s="246" t="s">
        <v>453</v>
      </c>
    </row>
    <row r="147" spans="1:15" s="75" customFormat="1" ht="59.25" customHeight="1">
      <c r="A147" s="284">
        <v>3</v>
      </c>
      <c r="B147" s="366" t="s">
        <v>539</v>
      </c>
      <c r="C147" s="195" t="s">
        <v>269</v>
      </c>
      <c r="D147" s="89">
        <v>77894</v>
      </c>
      <c r="E147" s="89">
        <f>D147</f>
        <v>77894</v>
      </c>
      <c r="F147" s="89">
        <v>0</v>
      </c>
      <c r="G147" s="89">
        <f>E147-F147</f>
        <v>77894</v>
      </c>
      <c r="H147" s="90">
        <f>SUM(I147:N147)</f>
        <v>9030</v>
      </c>
      <c r="I147" s="91">
        <v>9030</v>
      </c>
      <c r="J147" s="91"/>
      <c r="K147" s="91"/>
      <c r="L147" s="283"/>
      <c r="M147" s="91">
        <v>0</v>
      </c>
      <c r="N147" s="91"/>
      <c r="O147" s="246" t="s">
        <v>517</v>
      </c>
    </row>
    <row r="148" spans="1:15" s="75" customFormat="1" ht="63" customHeight="1">
      <c r="A148" s="284">
        <v>4</v>
      </c>
      <c r="B148" s="366" t="s">
        <v>540</v>
      </c>
      <c r="C148" s="195" t="s">
        <v>269</v>
      </c>
      <c r="D148" s="89">
        <v>6</v>
      </c>
      <c r="E148" s="89">
        <f>D148</f>
        <v>6</v>
      </c>
      <c r="F148" s="89">
        <v>0</v>
      </c>
      <c r="G148" s="89">
        <f>E148-F148</f>
        <v>6</v>
      </c>
      <c r="H148" s="90">
        <f>SUM(I148:N148)</f>
        <v>6</v>
      </c>
      <c r="I148" s="91"/>
      <c r="J148" s="91"/>
      <c r="K148" s="91"/>
      <c r="L148" s="283"/>
      <c r="M148" s="91">
        <v>6</v>
      </c>
      <c r="N148" s="91"/>
      <c r="O148" s="246" t="s">
        <v>453</v>
      </c>
    </row>
    <row r="149" spans="1:15" s="75" customFormat="1" ht="49.5" customHeight="1">
      <c r="A149" s="284">
        <v>5</v>
      </c>
      <c r="B149" s="366" t="s">
        <v>541</v>
      </c>
      <c r="C149" s="195" t="s">
        <v>269</v>
      </c>
      <c r="D149" s="89">
        <v>3</v>
      </c>
      <c r="E149" s="89">
        <f>D149</f>
        <v>3</v>
      </c>
      <c r="F149" s="89">
        <v>0</v>
      </c>
      <c r="G149" s="89">
        <f>E149-F149</f>
        <v>3</v>
      </c>
      <c r="H149" s="90">
        <f>SUM(J149:N149)</f>
        <v>3</v>
      </c>
      <c r="I149" s="91"/>
      <c r="J149" s="91"/>
      <c r="K149" s="91">
        <v>3</v>
      </c>
      <c r="L149" s="283"/>
      <c r="M149" s="91"/>
      <c r="N149" s="91"/>
      <c r="O149" s="246" t="s">
        <v>453</v>
      </c>
    </row>
    <row r="150" spans="1:15" s="75" customFormat="1" ht="49.5" customHeight="1">
      <c r="A150" s="284">
        <v>6</v>
      </c>
      <c r="B150" s="366" t="s">
        <v>542</v>
      </c>
      <c r="C150" s="195" t="s">
        <v>269</v>
      </c>
      <c r="D150" s="89">
        <v>6</v>
      </c>
      <c r="E150" s="89">
        <f t="shared" si="21"/>
        <v>6</v>
      </c>
      <c r="F150" s="89">
        <v>0</v>
      </c>
      <c r="G150" s="89">
        <f t="shared" si="22"/>
        <v>6</v>
      </c>
      <c r="H150" s="90">
        <f>SUM(J150:N150)</f>
        <v>6</v>
      </c>
      <c r="I150" s="91"/>
      <c r="J150" s="91"/>
      <c r="K150" s="91">
        <v>6</v>
      </c>
      <c r="L150" s="283"/>
      <c r="M150" s="91"/>
      <c r="N150" s="91"/>
      <c r="O150" s="246" t="s">
        <v>453</v>
      </c>
    </row>
    <row r="151" spans="1:15" s="75" customFormat="1" ht="49.5" customHeight="1">
      <c r="A151" s="284">
        <v>7</v>
      </c>
      <c r="B151" s="366" t="s">
        <v>543</v>
      </c>
      <c r="C151" s="195" t="s">
        <v>269</v>
      </c>
      <c r="D151" s="89">
        <v>4</v>
      </c>
      <c r="E151" s="89">
        <f t="shared" si="21"/>
        <v>4</v>
      </c>
      <c r="F151" s="89">
        <v>0</v>
      </c>
      <c r="G151" s="89">
        <f t="shared" si="22"/>
        <v>4</v>
      </c>
      <c r="H151" s="90">
        <f>SUM(J151:N151)</f>
        <v>4</v>
      </c>
      <c r="I151" s="91"/>
      <c r="J151" s="91"/>
      <c r="K151" s="91">
        <v>4</v>
      </c>
      <c r="L151" s="283"/>
      <c r="M151" s="91"/>
      <c r="N151" s="91"/>
      <c r="O151" s="246" t="s">
        <v>453</v>
      </c>
    </row>
    <row r="152" spans="1:15" s="75" customFormat="1" ht="51">
      <c r="A152" s="284">
        <v>8</v>
      </c>
      <c r="B152" s="366" t="s">
        <v>544</v>
      </c>
      <c r="C152" s="195" t="s">
        <v>269</v>
      </c>
      <c r="D152" s="89">
        <v>2169</v>
      </c>
      <c r="E152" s="89">
        <f>D152+503</f>
        <v>2672</v>
      </c>
      <c r="F152" s="89">
        <v>2142</v>
      </c>
      <c r="G152" s="89">
        <f>E152-F152</f>
        <v>530</v>
      </c>
      <c r="H152" s="90">
        <f>SUM(J152:N152)</f>
        <v>530</v>
      </c>
      <c r="I152" s="91"/>
      <c r="J152" s="91">
        <v>480</v>
      </c>
      <c r="K152" s="91"/>
      <c r="L152" s="283"/>
      <c r="M152" s="91">
        <v>50</v>
      </c>
      <c r="N152" s="91"/>
      <c r="O152" s="246" t="s">
        <v>453</v>
      </c>
    </row>
    <row r="153" spans="1:15" s="75" customFormat="1" ht="18.75" customHeight="1">
      <c r="A153" s="276"/>
      <c r="B153" s="119"/>
      <c r="C153" s="123" t="s">
        <v>304</v>
      </c>
      <c r="D153" s="97">
        <f>SUM(D145:D152)</f>
        <v>82077</v>
      </c>
      <c r="E153" s="97">
        <f t="shared" ref="E153:N153" si="23">SUM(E145:E152)</f>
        <v>82580</v>
      </c>
      <c r="F153" s="97">
        <f t="shared" si="23"/>
        <v>2142</v>
      </c>
      <c r="G153" s="97">
        <f t="shared" si="23"/>
        <v>80438</v>
      </c>
      <c r="H153" s="97">
        <f t="shared" si="23"/>
        <v>11559</v>
      </c>
      <c r="I153" s="97">
        <f t="shared" si="23"/>
        <v>11004</v>
      </c>
      <c r="J153" s="97">
        <f t="shared" si="23"/>
        <v>480</v>
      </c>
      <c r="K153" s="97">
        <f t="shared" si="23"/>
        <v>13</v>
      </c>
      <c r="L153" s="97">
        <f t="shared" si="23"/>
        <v>0</v>
      </c>
      <c r="M153" s="97">
        <f t="shared" si="23"/>
        <v>62</v>
      </c>
      <c r="N153" s="97">
        <f t="shared" si="23"/>
        <v>0</v>
      </c>
      <c r="O153" s="104"/>
    </row>
    <row r="154" spans="1:15" s="75" customFormat="1" ht="31.5" hidden="1" customHeight="1">
      <c r="A154" s="276"/>
      <c r="B154" s="119"/>
      <c r="C154" s="92"/>
      <c r="D154" s="104"/>
      <c r="E154" s="104"/>
      <c r="F154" s="104"/>
      <c r="G154" s="104"/>
      <c r="H154" s="104"/>
      <c r="I154" s="104"/>
      <c r="J154" s="104"/>
      <c r="K154" s="104"/>
      <c r="L154" s="104"/>
      <c r="M154" s="104"/>
      <c r="N154" s="104"/>
      <c r="O154" s="104"/>
    </row>
    <row r="155" spans="1:15" s="75" customFormat="1" ht="31.5" hidden="1" customHeight="1">
      <c r="A155" s="276"/>
      <c r="B155" s="119"/>
      <c r="C155" s="92"/>
      <c r="D155" s="104"/>
      <c r="E155" s="104"/>
      <c r="F155" s="104"/>
      <c r="G155" s="104"/>
      <c r="H155" s="104"/>
      <c r="I155" s="104"/>
      <c r="J155" s="104"/>
      <c r="K155" s="104"/>
      <c r="L155" s="104"/>
      <c r="M155" s="104"/>
      <c r="N155" s="104"/>
      <c r="O155" s="104"/>
    </row>
    <row r="156" spans="1:15" s="75" customFormat="1" ht="31.5" hidden="1" customHeight="1">
      <c r="A156" s="276"/>
      <c r="B156" s="119"/>
      <c r="C156" s="92"/>
      <c r="D156" s="104"/>
      <c r="E156" s="104"/>
      <c r="F156" s="104"/>
      <c r="G156" s="104"/>
      <c r="H156" s="104"/>
      <c r="I156" s="104"/>
      <c r="J156" s="104"/>
      <c r="K156" s="104"/>
      <c r="L156" s="104"/>
      <c r="M156" s="104"/>
      <c r="N156" s="104"/>
      <c r="O156" s="104"/>
    </row>
    <row r="157" spans="1:15" s="75" customFormat="1" ht="31.5" hidden="1" customHeight="1">
      <c r="A157" s="276"/>
      <c r="B157" s="119"/>
      <c r="C157" s="92"/>
      <c r="D157" s="104"/>
      <c r="E157" s="104"/>
      <c r="F157" s="104"/>
      <c r="G157" s="104"/>
      <c r="H157" s="104"/>
      <c r="I157" s="104"/>
      <c r="J157" s="104"/>
      <c r="K157" s="104"/>
      <c r="L157" s="104"/>
      <c r="M157" s="104"/>
      <c r="N157" s="104"/>
      <c r="O157" s="104"/>
    </row>
    <row r="158" spans="1:15" s="75" customFormat="1" ht="36.75" hidden="1" customHeight="1" thickBot="1">
      <c r="A158" s="256" t="s">
        <v>545</v>
      </c>
      <c r="B158" s="92"/>
      <c r="C158" s="78"/>
      <c r="D158" s="9"/>
      <c r="E158" s="9"/>
      <c r="F158" s="9"/>
      <c r="G158" s="9"/>
      <c r="H158" s="9"/>
      <c r="I158" s="9"/>
      <c r="J158" s="9"/>
      <c r="K158" s="9"/>
      <c r="L158" s="9"/>
      <c r="M158" s="9"/>
      <c r="N158" s="85" t="s">
        <v>41</v>
      </c>
      <c r="O158" s="94"/>
    </row>
    <row r="159" spans="1:15" s="75" customFormat="1" ht="51.75" hidden="1" customHeight="1" thickBot="1">
      <c r="A159" s="185" t="s">
        <v>259</v>
      </c>
      <c r="B159" s="186" t="s">
        <v>260</v>
      </c>
      <c r="C159" s="187" t="s">
        <v>261</v>
      </c>
      <c r="D159" s="186" t="s">
        <v>262</v>
      </c>
      <c r="E159" s="188" t="s">
        <v>263</v>
      </c>
      <c r="F159" s="189" t="s">
        <v>264</v>
      </c>
      <c r="G159" s="189" t="s">
        <v>265</v>
      </c>
      <c r="H159" s="189" t="s">
        <v>266</v>
      </c>
      <c r="I159" s="86" t="s">
        <v>24</v>
      </c>
      <c r="J159" s="87" t="s">
        <v>25</v>
      </c>
      <c r="K159" s="190" t="s">
        <v>26</v>
      </c>
      <c r="L159" s="189" t="s">
        <v>27</v>
      </c>
      <c r="M159" s="189" t="s">
        <v>28</v>
      </c>
      <c r="N159" s="191" t="s">
        <v>267</v>
      </c>
      <c r="O159" s="84"/>
    </row>
    <row r="160" spans="1:15" s="75" customFormat="1" hidden="1">
      <c r="A160" s="88">
        <v>1</v>
      </c>
      <c r="B160" s="132"/>
      <c r="C160" s="195"/>
      <c r="D160" s="89">
        <v>0</v>
      </c>
      <c r="E160" s="89">
        <f>D160</f>
        <v>0</v>
      </c>
      <c r="F160" s="89">
        <v>0</v>
      </c>
      <c r="G160" s="89">
        <f>E160-F160</f>
        <v>0</v>
      </c>
      <c r="H160" s="90">
        <f>SUM(I160:N160)</f>
        <v>0</v>
      </c>
      <c r="I160" s="91"/>
      <c r="J160" s="91"/>
      <c r="K160" s="257"/>
      <c r="L160" s="258"/>
      <c r="M160" s="259">
        <v>0</v>
      </c>
      <c r="N160" s="257"/>
      <c r="O160" s="166" t="s">
        <v>546</v>
      </c>
    </row>
    <row r="161" spans="1:15" s="75" customFormat="1" ht="15.75" hidden="1" customHeight="1">
      <c r="A161" s="78"/>
      <c r="B161" s="92"/>
      <c r="C161" s="78" t="s">
        <v>304</v>
      </c>
      <c r="D161" s="93">
        <f t="shared" ref="D161:N161" si="24">SUM(D160:D160)</f>
        <v>0</v>
      </c>
      <c r="E161" s="93">
        <f t="shared" si="24"/>
        <v>0</v>
      </c>
      <c r="F161" s="93">
        <f t="shared" si="24"/>
        <v>0</v>
      </c>
      <c r="G161" s="93">
        <f t="shared" si="24"/>
        <v>0</v>
      </c>
      <c r="H161" s="93">
        <f t="shared" si="24"/>
        <v>0</v>
      </c>
      <c r="I161" s="93">
        <f t="shared" si="24"/>
        <v>0</v>
      </c>
      <c r="J161" s="93">
        <f t="shared" si="24"/>
        <v>0</v>
      </c>
      <c r="K161" s="93">
        <f t="shared" si="24"/>
        <v>0</v>
      </c>
      <c r="L161" s="93">
        <f t="shared" si="24"/>
        <v>0</v>
      </c>
      <c r="M161" s="93">
        <f t="shared" si="24"/>
        <v>0</v>
      </c>
      <c r="N161" s="93">
        <f t="shared" si="24"/>
        <v>0</v>
      </c>
      <c r="O161" s="94"/>
    </row>
    <row r="162" spans="1:15" s="75" customFormat="1" ht="19.5" customHeight="1">
      <c r="A162" s="276"/>
      <c r="B162" s="119"/>
      <c r="C162" s="92"/>
      <c r="D162" s="104"/>
      <c r="E162" s="104"/>
      <c r="F162" s="104"/>
      <c r="G162" s="104"/>
      <c r="H162" s="104"/>
      <c r="I162" s="104"/>
      <c r="J162" s="104"/>
      <c r="K162" s="104"/>
      <c r="L162" s="104"/>
      <c r="M162" s="104"/>
      <c r="N162" s="104"/>
      <c r="O162" s="104"/>
    </row>
    <row r="163" spans="1:15" s="75" customFormat="1" ht="12" customHeight="1">
      <c r="A163" s="288"/>
      <c r="B163" s="289"/>
      <c r="C163" s="286"/>
      <c r="D163" s="290"/>
      <c r="E163" s="290"/>
      <c r="F163" s="290"/>
      <c r="G163" s="290"/>
      <c r="H163" s="290"/>
      <c r="I163" s="290"/>
      <c r="J163" s="290"/>
      <c r="K163" s="291"/>
      <c r="L163" s="290"/>
      <c r="M163" s="290"/>
      <c r="N163" s="290"/>
      <c r="O163" s="287"/>
    </row>
    <row r="164" spans="1:15" ht="15.75">
      <c r="A164" s="288"/>
      <c r="B164" s="292" t="s">
        <v>547</v>
      </c>
      <c r="C164" s="290"/>
      <c r="D164" s="290"/>
      <c r="E164" s="293" t="s">
        <v>244</v>
      </c>
      <c r="F164" s="290"/>
      <c r="G164" s="290"/>
      <c r="H164" s="290"/>
      <c r="I164" s="290"/>
      <c r="J164" s="290" t="s">
        <v>245</v>
      </c>
      <c r="K164" s="294"/>
      <c r="L164" s="290"/>
      <c r="M164" s="290"/>
      <c r="N164" s="290"/>
      <c r="O164" s="295"/>
    </row>
    <row r="165" spans="1:15" s="131" customFormat="1" ht="15.75">
      <c r="A165" s="296"/>
      <c r="B165" s="292" t="s">
        <v>246</v>
      </c>
      <c r="C165" s="297"/>
      <c r="D165" s="298"/>
      <c r="E165" s="299"/>
      <c r="F165" s="298"/>
      <c r="G165" s="298"/>
      <c r="H165" s="291"/>
      <c r="I165" s="298"/>
      <c r="J165" s="291"/>
      <c r="K165" s="298"/>
      <c r="L165" s="297" t="s">
        <v>247</v>
      </c>
      <c r="M165" s="298"/>
      <c r="N165" s="300"/>
      <c r="O165" s="294"/>
    </row>
    <row r="166" spans="1:15" s="131" customFormat="1" ht="15.75">
      <c r="A166" s="301"/>
      <c r="B166" s="302" t="s">
        <v>249</v>
      </c>
      <c r="C166" s="302"/>
      <c r="D166" s="290"/>
      <c r="E166" s="298"/>
      <c r="F166" s="299"/>
      <c r="G166" s="303" t="s">
        <v>248</v>
      </c>
      <c r="H166" s="286"/>
      <c r="I166" s="291"/>
      <c r="J166" s="291"/>
      <c r="K166" s="299"/>
      <c r="L166" s="299"/>
      <c r="M166" s="299"/>
      <c r="N166" s="300"/>
      <c r="O166" s="294"/>
    </row>
    <row r="167" spans="1:15" s="131" customFormat="1" ht="15.75">
      <c r="A167" s="301"/>
      <c r="B167" s="302" t="s">
        <v>252</v>
      </c>
      <c r="C167" s="302"/>
      <c r="D167" s="290"/>
      <c r="E167" s="290"/>
      <c r="F167" s="297"/>
      <c r="G167" s="303" t="s">
        <v>250</v>
      </c>
      <c r="H167" s="302"/>
      <c r="I167" s="291"/>
      <c r="J167" s="291"/>
      <c r="K167" s="299"/>
      <c r="L167" s="302" t="s">
        <v>251</v>
      </c>
      <c r="M167" s="290"/>
      <c r="N167" s="300"/>
      <c r="O167" s="304"/>
    </row>
    <row r="168" spans="1:15" ht="15.75">
      <c r="A168" s="305"/>
      <c r="B168" s="302"/>
      <c r="C168" s="299"/>
      <c r="D168" s="299"/>
      <c r="E168" s="306"/>
      <c r="F168" s="299"/>
      <c r="G168" s="307" t="s">
        <v>253</v>
      </c>
      <c r="H168" s="297"/>
      <c r="I168" s="308"/>
      <c r="J168" s="308"/>
      <c r="K168" s="308"/>
      <c r="L168" s="302" t="s">
        <v>254</v>
      </c>
      <c r="M168" s="290"/>
      <c r="N168" s="300"/>
      <c r="O168" s="304"/>
    </row>
    <row r="169" spans="1:15" ht="15.75">
      <c r="A169" s="305"/>
      <c r="B169" s="302"/>
      <c r="C169" s="302"/>
      <c r="D169" s="309"/>
      <c r="E169" s="302"/>
      <c r="F169" s="297"/>
      <c r="G169" s="302"/>
      <c r="H169" s="309"/>
      <c r="I169" s="306"/>
      <c r="J169" s="299"/>
      <c r="K169" s="302"/>
      <c r="L169" s="297"/>
      <c r="M169" s="297"/>
      <c r="N169" s="297"/>
      <c r="O169" s="295"/>
    </row>
    <row r="170" spans="1:15" ht="15">
      <c r="A170" s="145"/>
      <c r="B170" s="145"/>
      <c r="C170" s="145"/>
      <c r="D170" s="145"/>
      <c r="E170" s="145"/>
      <c r="G170" s="145"/>
      <c r="H170" s="145"/>
      <c r="I170" s="145"/>
      <c r="J170" s="145"/>
      <c r="K170" s="146"/>
      <c r="L170" s="20"/>
      <c r="M170" s="129"/>
      <c r="N170" s="22"/>
    </row>
    <row r="171" spans="1:15">
      <c r="A171" s="3"/>
      <c r="B171" s="3"/>
      <c r="C171" s="3"/>
      <c r="D171" s="3"/>
      <c r="E171" s="3"/>
      <c r="F171" s="3"/>
      <c r="G171" s="3"/>
      <c r="H171" s="3"/>
      <c r="I171" s="3"/>
      <c r="K171" s="3"/>
      <c r="L171" s="3"/>
      <c r="M171" s="110"/>
      <c r="N171" s="3"/>
    </row>
    <row r="172" spans="1:15">
      <c r="A172" s="3"/>
      <c r="B172" s="147"/>
      <c r="C172" s="3"/>
      <c r="D172" s="3"/>
      <c r="E172" s="3"/>
      <c r="F172" s="3"/>
      <c r="G172" s="3"/>
      <c r="H172" s="3"/>
      <c r="I172" s="3"/>
      <c r="K172" s="3"/>
      <c r="L172" s="3"/>
      <c r="M172" s="110"/>
      <c r="N172" s="3"/>
    </row>
  </sheetData>
  <mergeCells count="1">
    <mergeCell ref="A9:O9"/>
  </mergeCells>
  <phoneticPr fontId="4" type="noConversion"/>
  <pageMargins left="0.51181102362204722" right="0.59055118110236227" top="0.59055118110236227" bottom="0.78740157480314965" header="0.35433070866141736" footer="0.39370078740157483"/>
  <pageSetup paperSize="9" orientation="landscape" r:id="rId1"/>
  <headerFooter alignWithMargins="0">
    <oddFooter xml:space="preserve">&amp;C&amp;8Pagina &amp;P din &amp;N&amp;R&amp;8(L1) HCL nr.  din 
Dotări independente ANEXA 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00000"/>
  </sheetPr>
  <dimension ref="A1:S86"/>
  <sheetViews>
    <sheetView view="pageBreakPreview" topLeftCell="A70" zoomScaleNormal="110" zoomScaleSheetLayoutView="100" workbookViewId="0">
      <selection activeCell="I33" sqref="I33"/>
    </sheetView>
  </sheetViews>
  <sheetFormatPr defaultRowHeight="12.75"/>
  <cols>
    <col min="1" max="1" width="3.7109375" style="3" customWidth="1"/>
    <col min="2" max="2" width="37.85546875" style="3" customWidth="1"/>
    <col min="3" max="3" width="10.85546875" style="3" customWidth="1"/>
    <col min="4" max="4" width="8" style="3" customWidth="1"/>
    <col min="5" max="5" width="8.42578125" style="3" customWidth="1"/>
    <col min="6" max="6" width="9.42578125" style="3" customWidth="1"/>
    <col min="7" max="7" width="8" style="3" customWidth="1"/>
    <col min="8" max="8" width="8.28515625" style="3" customWidth="1"/>
    <col min="9" max="11" width="6.85546875" style="3" customWidth="1"/>
    <col min="12" max="12" width="7.140625" style="3" customWidth="1"/>
    <col min="13" max="13" width="7.140625" style="110" customWidth="1"/>
    <col min="14" max="14" width="5.140625" style="3" customWidth="1"/>
    <col min="15" max="15" width="5.7109375" style="111" customWidth="1"/>
    <col min="16" max="16384" width="9.140625" style="3"/>
  </cols>
  <sheetData>
    <row r="1" spans="1:15" ht="9.75" customHeight="1">
      <c r="A1" s="65"/>
      <c r="B1" s="66"/>
      <c r="D1" s="319"/>
      <c r="E1" s="319"/>
      <c r="F1" s="314" t="s">
        <v>3</v>
      </c>
      <c r="G1" s="314"/>
      <c r="H1" s="314"/>
      <c r="I1" s="314"/>
      <c r="J1" s="314" t="s">
        <v>5</v>
      </c>
      <c r="K1" s="369"/>
      <c r="L1" s="370"/>
      <c r="N1" s="3" t="s">
        <v>255</v>
      </c>
    </row>
    <row r="2" spans="1:15" ht="21.75" customHeight="1">
      <c r="A2" s="65"/>
      <c r="B2" s="66"/>
      <c r="D2" s="319"/>
      <c r="E2" s="294"/>
      <c r="F2" s="314" t="s">
        <v>7</v>
      </c>
      <c r="G2" s="315"/>
      <c r="H2" s="314"/>
      <c r="I2" s="314"/>
      <c r="J2" s="314" t="s">
        <v>8</v>
      </c>
      <c r="K2" s="319"/>
      <c r="L2" s="314"/>
    </row>
    <row r="3" spans="1:15" ht="11.25" customHeight="1">
      <c r="A3" s="65"/>
      <c r="B3" s="66"/>
      <c r="D3" s="319"/>
      <c r="E3" s="316"/>
      <c r="F3" s="314" t="s">
        <v>10</v>
      </c>
      <c r="G3" s="313"/>
      <c r="H3" s="313"/>
      <c r="I3" s="312"/>
      <c r="J3" s="314" t="s">
        <v>11</v>
      </c>
      <c r="K3" s="319"/>
      <c r="L3" s="314"/>
    </row>
    <row r="4" spans="1:15" ht="11.25" customHeight="1">
      <c r="A4" s="65"/>
      <c r="B4" s="251" t="s">
        <v>548</v>
      </c>
      <c r="D4" s="319"/>
      <c r="E4" s="294"/>
      <c r="F4" s="317" t="s">
        <v>13</v>
      </c>
      <c r="G4" s="294"/>
      <c r="H4" s="313"/>
      <c r="I4" s="312"/>
      <c r="J4" s="314"/>
      <c r="K4" s="319"/>
      <c r="L4" s="314"/>
    </row>
    <row r="5" spans="1:15" ht="11.25" customHeight="1">
      <c r="A5" s="65"/>
      <c r="B5" s="251"/>
      <c r="D5" s="319"/>
      <c r="E5" s="319"/>
      <c r="F5" s="314"/>
      <c r="G5" s="313"/>
      <c r="H5" s="313"/>
      <c r="I5" s="312"/>
      <c r="J5" s="314"/>
      <c r="K5" s="319"/>
      <c r="L5" s="314"/>
    </row>
    <row r="6" spans="1:15" ht="11.25" customHeight="1">
      <c r="A6" s="65"/>
      <c r="B6" s="251"/>
      <c r="D6" s="319"/>
      <c r="E6" s="319"/>
      <c r="F6" s="314"/>
      <c r="G6" s="313"/>
      <c r="H6" s="313"/>
      <c r="I6" s="312"/>
      <c r="J6" s="314"/>
      <c r="K6" s="319"/>
      <c r="L6" s="314"/>
    </row>
    <row r="7" spans="1:15" ht="15" customHeight="1">
      <c r="A7" s="65"/>
      <c r="B7" s="66" t="s">
        <v>549</v>
      </c>
      <c r="G7" s="129"/>
      <c r="H7" s="6"/>
    </row>
    <row r="8" spans="1:15" ht="56.25" customHeight="1">
      <c r="A8" s="387" t="s">
        <v>550</v>
      </c>
      <c r="B8" s="386"/>
      <c r="C8" s="386"/>
      <c r="D8" s="386"/>
      <c r="E8" s="386"/>
      <c r="F8" s="386"/>
      <c r="G8" s="386"/>
      <c r="H8" s="386"/>
      <c r="I8" s="386"/>
      <c r="J8" s="386"/>
      <c r="K8" s="386"/>
      <c r="L8" s="386"/>
      <c r="M8" s="390"/>
      <c r="N8" s="390"/>
    </row>
    <row r="9" spans="1:15" s="74" customFormat="1" ht="36.75" hidden="1" customHeight="1" thickBot="1">
      <c r="A9" s="70" t="s">
        <v>258</v>
      </c>
      <c r="B9" s="4"/>
      <c r="C9" s="71"/>
      <c r="D9" s="4"/>
      <c r="E9" s="72"/>
      <c r="F9" s="4"/>
      <c r="G9" s="4"/>
      <c r="H9" s="4"/>
      <c r="I9" s="4"/>
      <c r="J9" s="4"/>
      <c r="K9" s="4"/>
      <c r="L9" s="73" t="s">
        <v>41</v>
      </c>
      <c r="M9" s="67"/>
      <c r="O9" s="111"/>
    </row>
    <row r="10" spans="1:15" s="6" customFormat="1" ht="57" hidden="1" customHeight="1" thickBot="1">
      <c r="A10" s="185" t="s">
        <v>259</v>
      </c>
      <c r="B10" s="186" t="s">
        <v>260</v>
      </c>
      <c r="C10" s="187" t="s">
        <v>261</v>
      </c>
      <c r="D10" s="186" t="s">
        <v>262</v>
      </c>
      <c r="E10" s="188" t="s">
        <v>263</v>
      </c>
      <c r="F10" s="189" t="s">
        <v>551</v>
      </c>
      <c r="G10" s="189" t="s">
        <v>265</v>
      </c>
      <c r="H10" s="189" t="s">
        <v>552</v>
      </c>
      <c r="I10" s="86" t="s">
        <v>553</v>
      </c>
      <c r="J10" s="87" t="s">
        <v>25</v>
      </c>
      <c r="K10" s="190" t="s">
        <v>554</v>
      </c>
      <c r="L10" s="189" t="s">
        <v>27</v>
      </c>
      <c r="M10" s="189" t="s">
        <v>28</v>
      </c>
      <c r="N10" s="191" t="s">
        <v>267</v>
      </c>
      <c r="O10" s="112"/>
    </row>
    <row r="11" spans="1:15" s="75" customFormat="1" ht="59.25" hidden="1" customHeight="1">
      <c r="A11" s="124">
        <v>1</v>
      </c>
      <c r="B11" s="149"/>
      <c r="C11" s="150"/>
      <c r="D11" s="120">
        <v>0</v>
      </c>
      <c r="E11" s="120">
        <f>D11</f>
        <v>0</v>
      </c>
      <c r="F11" s="120">
        <v>0</v>
      </c>
      <c r="G11" s="121">
        <f>E11-F11</f>
        <v>0</v>
      </c>
      <c r="H11" s="122">
        <f>SUM(I11:N11)</f>
        <v>0</v>
      </c>
      <c r="I11" s="120"/>
      <c r="J11" s="120"/>
      <c r="K11" s="120"/>
      <c r="L11" s="120"/>
      <c r="M11" s="120">
        <v>0</v>
      </c>
      <c r="N11" s="120"/>
      <c r="O11" s="117" t="s">
        <v>270</v>
      </c>
    </row>
    <row r="12" spans="1:15" ht="18.75" hidden="1" customHeight="1">
      <c r="A12" s="276"/>
      <c r="C12" s="151" t="s">
        <v>304</v>
      </c>
      <c r="D12" s="152">
        <f t="shared" ref="D12:N12" si="0">SUM(D11:D11)</f>
        <v>0</v>
      </c>
      <c r="E12" s="152">
        <f t="shared" si="0"/>
        <v>0</v>
      </c>
      <c r="F12" s="152">
        <f t="shared" si="0"/>
        <v>0</v>
      </c>
      <c r="G12" s="152">
        <f t="shared" si="0"/>
        <v>0</v>
      </c>
      <c r="H12" s="152">
        <f t="shared" si="0"/>
        <v>0</v>
      </c>
      <c r="I12" s="152">
        <f t="shared" si="0"/>
        <v>0</v>
      </c>
      <c r="J12" s="152">
        <f t="shared" si="0"/>
        <v>0</v>
      </c>
      <c r="K12" s="152">
        <f t="shared" si="0"/>
        <v>0</v>
      </c>
      <c r="L12" s="152">
        <f t="shared" si="0"/>
        <v>0</v>
      </c>
      <c r="M12" s="152">
        <f t="shared" si="0"/>
        <v>0</v>
      </c>
      <c r="N12" s="152">
        <f t="shared" si="0"/>
        <v>0</v>
      </c>
    </row>
    <row r="13" spans="1:15" ht="20.25" hidden="1" customHeight="1">
      <c r="A13" s="276"/>
      <c r="C13" s="96"/>
      <c r="D13" s="160"/>
      <c r="E13" s="160"/>
      <c r="F13" s="160"/>
      <c r="G13" s="160"/>
      <c r="H13" s="160"/>
      <c r="I13" s="160"/>
      <c r="J13" s="160"/>
      <c r="K13" s="160"/>
      <c r="L13" s="160"/>
      <c r="M13" s="160"/>
      <c r="N13" s="160"/>
    </row>
    <row r="14" spans="1:15" ht="20.25" hidden="1" customHeight="1">
      <c r="A14" s="276"/>
      <c r="C14" s="92"/>
      <c r="D14" s="104"/>
      <c r="E14" s="104"/>
      <c r="F14" s="104"/>
      <c r="G14" s="104"/>
      <c r="H14" s="104"/>
      <c r="I14" s="104"/>
      <c r="J14" s="104"/>
      <c r="K14" s="104"/>
      <c r="L14" s="104"/>
      <c r="M14" s="104"/>
      <c r="N14" s="104"/>
    </row>
    <row r="15" spans="1:15" ht="20.25" hidden="1" customHeight="1" thickBot="1">
      <c r="A15" s="70" t="s">
        <v>555</v>
      </c>
      <c r="B15" s="4"/>
      <c r="C15" s="71"/>
      <c r="D15" s="4"/>
      <c r="E15" s="72"/>
      <c r="F15" s="4"/>
      <c r="G15" s="4"/>
      <c r="H15" s="4"/>
      <c r="I15" s="4"/>
      <c r="J15" s="4"/>
      <c r="K15" s="4"/>
      <c r="L15" s="73" t="s">
        <v>41</v>
      </c>
      <c r="M15" s="67"/>
      <c r="N15" s="74"/>
    </row>
    <row r="16" spans="1:15" ht="64.5" hidden="1" customHeight="1" thickBot="1">
      <c r="A16" s="185" t="s">
        <v>259</v>
      </c>
      <c r="B16" s="186" t="s">
        <v>260</v>
      </c>
      <c r="C16" s="187" t="s">
        <v>261</v>
      </c>
      <c r="D16" s="186" t="s">
        <v>262</v>
      </c>
      <c r="E16" s="188" t="s">
        <v>263</v>
      </c>
      <c r="F16" s="189" t="s">
        <v>551</v>
      </c>
      <c r="G16" s="189" t="s">
        <v>265</v>
      </c>
      <c r="H16" s="189" t="s">
        <v>552</v>
      </c>
      <c r="I16" s="86" t="s">
        <v>553</v>
      </c>
      <c r="J16" s="87" t="s">
        <v>25</v>
      </c>
      <c r="K16" s="190" t="s">
        <v>554</v>
      </c>
      <c r="L16" s="189" t="s">
        <v>27</v>
      </c>
      <c r="M16" s="189" t="s">
        <v>28</v>
      </c>
      <c r="N16" s="191" t="s">
        <v>267</v>
      </c>
      <c r="O16" s="112"/>
    </row>
    <row r="17" spans="1:15" ht="19.5" hidden="1" customHeight="1">
      <c r="A17" s="124">
        <v>1</v>
      </c>
      <c r="B17" s="148"/>
      <c r="C17" s="118"/>
      <c r="D17" s="153"/>
      <c r="E17" s="153"/>
      <c r="F17" s="153"/>
      <c r="G17" s="154"/>
      <c r="H17" s="95"/>
      <c r="I17" s="153"/>
      <c r="J17" s="153"/>
      <c r="K17" s="153"/>
      <c r="L17" s="153"/>
      <c r="M17" s="153"/>
      <c r="N17" s="153"/>
      <c r="O17" s="117" t="s">
        <v>270</v>
      </c>
    </row>
    <row r="18" spans="1:15" ht="13.5" hidden="1" customHeight="1">
      <c r="A18" s="276"/>
      <c r="C18" s="123" t="s">
        <v>304</v>
      </c>
      <c r="D18" s="97">
        <f>SUM(D17)</f>
        <v>0</v>
      </c>
      <c r="E18" s="97">
        <f t="shared" ref="E18:N18" si="1">SUM(E17)</f>
        <v>0</v>
      </c>
      <c r="F18" s="97">
        <f t="shared" si="1"/>
        <v>0</v>
      </c>
      <c r="G18" s="97">
        <f t="shared" si="1"/>
        <v>0</v>
      </c>
      <c r="H18" s="97">
        <f t="shared" si="1"/>
        <v>0</v>
      </c>
      <c r="I18" s="97">
        <f t="shared" si="1"/>
        <v>0</v>
      </c>
      <c r="J18" s="97">
        <f t="shared" si="1"/>
        <v>0</v>
      </c>
      <c r="K18" s="97">
        <f t="shared" si="1"/>
        <v>0</v>
      </c>
      <c r="L18" s="97">
        <f t="shared" si="1"/>
        <v>0</v>
      </c>
      <c r="M18" s="97">
        <f t="shared" si="1"/>
        <v>0</v>
      </c>
      <c r="N18" s="97">
        <f t="shared" si="1"/>
        <v>0</v>
      </c>
    </row>
    <row r="19" spans="1:15" ht="26.25" hidden="1" customHeight="1">
      <c r="A19" s="276"/>
      <c r="C19" s="92"/>
      <c r="D19" s="104"/>
      <c r="E19" s="104"/>
      <c r="F19" s="104"/>
      <c r="G19" s="104"/>
      <c r="H19" s="104"/>
      <c r="I19" s="104"/>
      <c r="J19" s="104"/>
      <c r="K19" s="104"/>
      <c r="L19" s="104"/>
      <c r="M19" s="104"/>
      <c r="N19" s="104"/>
    </row>
    <row r="20" spans="1:15" s="74" customFormat="1" ht="34.5" customHeight="1" thickBot="1">
      <c r="A20" s="70" t="s">
        <v>308</v>
      </c>
      <c r="B20" s="4"/>
      <c r="C20" s="71"/>
      <c r="D20" s="4"/>
      <c r="E20" s="72"/>
      <c r="F20" s="4"/>
      <c r="G20" s="4"/>
      <c r="H20" s="4"/>
      <c r="I20" s="4"/>
      <c r="J20" s="69"/>
      <c r="L20" s="110"/>
      <c r="N20" s="102" t="s">
        <v>41</v>
      </c>
      <c r="O20" s="111"/>
    </row>
    <row r="21" spans="1:15" s="6" customFormat="1" ht="54.75" customHeight="1" thickBot="1">
      <c r="A21" s="185" t="s">
        <v>259</v>
      </c>
      <c r="B21" s="186" t="s">
        <v>260</v>
      </c>
      <c r="C21" s="187" t="s">
        <v>261</v>
      </c>
      <c r="D21" s="186" t="s">
        <v>262</v>
      </c>
      <c r="E21" s="188" t="s">
        <v>263</v>
      </c>
      <c r="F21" s="189" t="s">
        <v>264</v>
      </c>
      <c r="G21" s="189" t="s">
        <v>265</v>
      </c>
      <c r="H21" s="189" t="s">
        <v>266</v>
      </c>
      <c r="I21" s="86" t="s">
        <v>24</v>
      </c>
      <c r="J21" s="87" t="s">
        <v>25</v>
      </c>
      <c r="K21" s="190" t="s">
        <v>26</v>
      </c>
      <c r="L21" s="189" t="s">
        <v>27</v>
      </c>
      <c r="M21" s="189" t="s">
        <v>28</v>
      </c>
      <c r="N21" s="191" t="s">
        <v>267</v>
      </c>
      <c r="O21" s="112"/>
    </row>
    <row r="22" spans="1:15" s="6" customFormat="1" ht="70.5" customHeight="1">
      <c r="A22" s="194">
        <v>1</v>
      </c>
      <c r="B22" s="133" t="s">
        <v>556</v>
      </c>
      <c r="C22" s="195" t="s">
        <v>269</v>
      </c>
      <c r="D22" s="163">
        <v>40</v>
      </c>
      <c r="E22" s="163">
        <f>D22</f>
        <v>40</v>
      </c>
      <c r="F22" s="163">
        <v>34</v>
      </c>
      <c r="G22" s="164">
        <f>E22-F22</f>
        <v>6</v>
      </c>
      <c r="H22" s="165">
        <f>SUM(I22:O22)</f>
        <v>6</v>
      </c>
      <c r="I22" s="163"/>
      <c r="J22" s="163"/>
      <c r="K22" s="163"/>
      <c r="L22" s="163"/>
      <c r="M22" s="163">
        <v>6</v>
      </c>
      <c r="N22" s="163">
        <v>0</v>
      </c>
      <c r="O22" s="117" t="s">
        <v>45</v>
      </c>
    </row>
    <row r="23" spans="1:15" s="6" customFormat="1" ht="54">
      <c r="A23" s="194">
        <v>2</v>
      </c>
      <c r="B23" s="133" t="s">
        <v>557</v>
      </c>
      <c r="C23" s="195" t="s">
        <v>558</v>
      </c>
      <c r="D23" s="163">
        <v>186</v>
      </c>
      <c r="E23" s="163">
        <f>D23</f>
        <v>186</v>
      </c>
      <c r="F23" s="163">
        <v>0</v>
      </c>
      <c r="G23" s="164">
        <f>E23-F23</f>
        <v>186</v>
      </c>
      <c r="H23" s="165">
        <f>SUM(I23:O23)</f>
        <v>186</v>
      </c>
      <c r="I23" s="163"/>
      <c r="J23" s="163"/>
      <c r="K23" s="163"/>
      <c r="L23" s="163"/>
      <c r="M23" s="163">
        <v>186</v>
      </c>
      <c r="N23" s="163">
        <v>0</v>
      </c>
      <c r="O23" s="117" t="s">
        <v>45</v>
      </c>
    </row>
    <row r="24" spans="1:15" ht="33" customHeight="1">
      <c r="A24" s="276"/>
      <c r="C24" s="123" t="s">
        <v>304</v>
      </c>
      <c r="D24" s="97">
        <f>SUM(D22:D23)</f>
        <v>226</v>
      </c>
      <c r="E24" s="97">
        <f t="shared" ref="E24:N24" si="2">SUM(E22:E23)</f>
        <v>226</v>
      </c>
      <c r="F24" s="97">
        <f t="shared" si="2"/>
        <v>34</v>
      </c>
      <c r="G24" s="97">
        <f t="shared" si="2"/>
        <v>192</v>
      </c>
      <c r="H24" s="97">
        <f t="shared" si="2"/>
        <v>192</v>
      </c>
      <c r="I24" s="97">
        <f t="shared" si="2"/>
        <v>0</v>
      </c>
      <c r="J24" s="97">
        <f t="shared" si="2"/>
        <v>0</v>
      </c>
      <c r="K24" s="97">
        <f t="shared" si="2"/>
        <v>0</v>
      </c>
      <c r="L24" s="97">
        <f t="shared" si="2"/>
        <v>0</v>
      </c>
      <c r="M24" s="97">
        <f t="shared" si="2"/>
        <v>192</v>
      </c>
      <c r="N24" s="97">
        <f t="shared" si="2"/>
        <v>0</v>
      </c>
    </row>
    <row r="25" spans="1:15" ht="33" customHeight="1">
      <c r="A25" s="276"/>
      <c r="C25" s="92"/>
      <c r="D25" s="104"/>
      <c r="E25" s="104"/>
      <c r="F25" s="104"/>
      <c r="G25" s="104"/>
      <c r="H25" s="104"/>
      <c r="I25" s="104"/>
      <c r="J25" s="104"/>
      <c r="K25" s="104"/>
      <c r="L25" s="104"/>
      <c r="M25" s="104"/>
      <c r="N25" s="104"/>
    </row>
    <row r="26" spans="1:15" ht="33" customHeight="1">
      <c r="A26" s="276"/>
      <c r="C26" s="92"/>
      <c r="D26" s="104"/>
      <c r="E26" s="104"/>
      <c r="F26" s="104"/>
      <c r="G26" s="104"/>
      <c r="H26" s="104"/>
      <c r="I26" s="104"/>
      <c r="J26" s="104"/>
      <c r="K26" s="104"/>
      <c r="L26" s="104"/>
      <c r="M26" s="104"/>
      <c r="N26" s="104"/>
    </row>
    <row r="27" spans="1:15" ht="33" customHeight="1">
      <c r="A27" s="276"/>
      <c r="C27" s="92"/>
      <c r="D27" s="104"/>
      <c r="E27" s="104"/>
      <c r="F27" s="104"/>
      <c r="G27" s="104"/>
      <c r="H27" s="104"/>
      <c r="I27" s="104"/>
      <c r="J27" s="104"/>
      <c r="K27" s="104"/>
      <c r="L27" s="104"/>
      <c r="M27" s="104"/>
      <c r="N27" s="104"/>
    </row>
    <row r="28" spans="1:15" s="74" customFormat="1" ht="41.25" customHeight="1" thickBot="1">
      <c r="A28" s="57" t="s">
        <v>559</v>
      </c>
      <c r="C28" s="9"/>
      <c r="D28" s="4"/>
      <c r="E28" s="72"/>
      <c r="F28" s="4"/>
      <c r="G28" s="4"/>
      <c r="H28" s="4"/>
      <c r="I28" s="4"/>
      <c r="J28" s="69"/>
      <c r="K28" s="73"/>
      <c r="L28" s="110"/>
      <c r="N28" s="102" t="s">
        <v>41</v>
      </c>
      <c r="O28" s="111"/>
    </row>
    <row r="29" spans="1:15" s="6" customFormat="1" ht="48.75" customHeight="1">
      <c r="A29" s="331" t="s">
        <v>259</v>
      </c>
      <c r="B29" s="332" t="s">
        <v>260</v>
      </c>
      <c r="C29" s="333" t="s">
        <v>261</v>
      </c>
      <c r="D29" s="332" t="s">
        <v>262</v>
      </c>
      <c r="E29" s="334" t="s">
        <v>263</v>
      </c>
      <c r="F29" s="335" t="s">
        <v>264</v>
      </c>
      <c r="G29" s="335" t="s">
        <v>265</v>
      </c>
      <c r="H29" s="335" t="s">
        <v>266</v>
      </c>
      <c r="I29" s="336" t="s">
        <v>24</v>
      </c>
      <c r="J29" s="337" t="s">
        <v>25</v>
      </c>
      <c r="K29" s="338" t="s">
        <v>26</v>
      </c>
      <c r="L29" s="335" t="s">
        <v>27</v>
      </c>
      <c r="M29" s="335" t="s">
        <v>28</v>
      </c>
      <c r="N29" s="339" t="s">
        <v>267</v>
      </c>
      <c r="O29" s="112"/>
    </row>
    <row r="30" spans="1:15" s="6" customFormat="1" ht="68.25" customHeight="1">
      <c r="A30" s="367">
        <v>1</v>
      </c>
      <c r="B30" s="133" t="s">
        <v>560</v>
      </c>
      <c r="C30" s="195" t="s">
        <v>269</v>
      </c>
      <c r="D30" s="282">
        <v>1000</v>
      </c>
      <c r="E30" s="282">
        <f t="shared" ref="E30:E35" si="3">D30</f>
        <v>1000</v>
      </c>
      <c r="F30" s="282">
        <v>0</v>
      </c>
      <c r="G30" s="132">
        <f>E30-F30</f>
        <v>1000</v>
      </c>
      <c r="H30" s="95">
        <f t="shared" ref="H30:H35" si="4">SUM(I30:N30)</f>
        <v>1000</v>
      </c>
      <c r="I30" s="282"/>
      <c r="J30" s="282"/>
      <c r="K30" s="282"/>
      <c r="L30" s="282"/>
      <c r="M30" s="282">
        <v>1000</v>
      </c>
      <c r="N30" s="282"/>
      <c r="O30" s="117" t="s">
        <v>45</v>
      </c>
    </row>
    <row r="31" spans="1:15" s="6" customFormat="1" ht="75">
      <c r="A31" s="367">
        <v>2</v>
      </c>
      <c r="B31" s="352" t="s">
        <v>561</v>
      </c>
      <c r="C31" s="281" t="s">
        <v>507</v>
      </c>
      <c r="D31" s="167">
        <v>1</v>
      </c>
      <c r="E31" s="167">
        <f t="shared" si="3"/>
        <v>1</v>
      </c>
      <c r="F31" s="168">
        <v>0</v>
      </c>
      <c r="G31" s="169">
        <f>D31-F31</f>
        <v>1</v>
      </c>
      <c r="H31" s="95">
        <f t="shared" si="4"/>
        <v>1</v>
      </c>
      <c r="I31" s="168"/>
      <c r="J31" s="170"/>
      <c r="K31" s="169"/>
      <c r="L31" s="169">
        <v>1</v>
      </c>
      <c r="M31" s="168"/>
      <c r="N31" s="169"/>
      <c r="O31" s="117" t="s">
        <v>45</v>
      </c>
    </row>
    <row r="32" spans="1:15" s="6" customFormat="1" ht="89.25" customHeight="1">
      <c r="A32" s="367">
        <v>3</v>
      </c>
      <c r="B32" s="352" t="s">
        <v>562</v>
      </c>
      <c r="C32" s="281" t="s">
        <v>507</v>
      </c>
      <c r="D32" s="167">
        <v>205</v>
      </c>
      <c r="E32" s="167">
        <f t="shared" si="3"/>
        <v>205</v>
      </c>
      <c r="F32" s="168">
        <v>0</v>
      </c>
      <c r="G32" s="169">
        <f>D32-F32</f>
        <v>205</v>
      </c>
      <c r="H32" s="95">
        <f t="shared" si="4"/>
        <v>205</v>
      </c>
      <c r="I32" s="168"/>
      <c r="J32" s="170"/>
      <c r="K32" s="169"/>
      <c r="L32" s="169">
        <v>205</v>
      </c>
      <c r="M32" s="168"/>
      <c r="N32" s="169"/>
      <c r="O32" s="117" t="s">
        <v>45</v>
      </c>
    </row>
    <row r="33" spans="1:15" s="6" customFormat="1" ht="65.25" customHeight="1">
      <c r="A33" s="367">
        <v>4</v>
      </c>
      <c r="B33" s="352" t="s">
        <v>563</v>
      </c>
      <c r="C33" s="281" t="s">
        <v>507</v>
      </c>
      <c r="D33" s="167">
        <v>92</v>
      </c>
      <c r="E33" s="167">
        <f t="shared" si="3"/>
        <v>92</v>
      </c>
      <c r="F33" s="168">
        <v>0</v>
      </c>
      <c r="G33" s="169">
        <f>D33-F33</f>
        <v>92</v>
      </c>
      <c r="H33" s="95">
        <f t="shared" si="4"/>
        <v>92</v>
      </c>
      <c r="I33" s="168"/>
      <c r="J33" s="170"/>
      <c r="K33" s="169"/>
      <c r="L33" s="169">
        <v>92</v>
      </c>
      <c r="M33" s="168"/>
      <c r="N33" s="169"/>
      <c r="O33" s="117" t="s">
        <v>45</v>
      </c>
    </row>
    <row r="34" spans="1:15" s="6" customFormat="1" ht="68.25" customHeight="1">
      <c r="A34" s="367">
        <v>5</v>
      </c>
      <c r="B34" s="352" t="s">
        <v>564</v>
      </c>
      <c r="C34" s="281" t="s">
        <v>507</v>
      </c>
      <c r="D34" s="167">
        <v>1000</v>
      </c>
      <c r="E34" s="167">
        <f t="shared" si="3"/>
        <v>1000</v>
      </c>
      <c r="F34" s="168">
        <v>0</v>
      </c>
      <c r="G34" s="169">
        <f>D34-F34</f>
        <v>1000</v>
      </c>
      <c r="H34" s="95">
        <f t="shared" si="4"/>
        <v>1000</v>
      </c>
      <c r="I34" s="168"/>
      <c r="J34" s="170"/>
      <c r="K34" s="169"/>
      <c r="L34" s="169">
        <v>1000</v>
      </c>
      <c r="M34" s="168"/>
      <c r="N34" s="169"/>
      <c r="O34" s="117" t="s">
        <v>45</v>
      </c>
    </row>
    <row r="35" spans="1:15" s="6" customFormat="1" ht="72" customHeight="1">
      <c r="A35" s="367">
        <v>6</v>
      </c>
      <c r="B35" s="352" t="s">
        <v>565</v>
      </c>
      <c r="C35" s="281" t="s">
        <v>507</v>
      </c>
      <c r="D35" s="167">
        <v>19</v>
      </c>
      <c r="E35" s="167">
        <f t="shared" si="3"/>
        <v>19</v>
      </c>
      <c r="F35" s="168">
        <v>0</v>
      </c>
      <c r="G35" s="169">
        <f>D35-F35</f>
        <v>19</v>
      </c>
      <c r="H35" s="95">
        <f t="shared" si="4"/>
        <v>19</v>
      </c>
      <c r="I35" s="168"/>
      <c r="J35" s="170"/>
      <c r="K35" s="169"/>
      <c r="L35" s="169">
        <v>19</v>
      </c>
      <c r="M35" s="168"/>
      <c r="N35" s="169"/>
      <c r="O35" s="117" t="s">
        <v>45</v>
      </c>
    </row>
    <row r="36" spans="1:15" ht="24" customHeight="1">
      <c r="A36" s="276"/>
      <c r="C36" s="113" t="s">
        <v>304</v>
      </c>
      <c r="D36" s="184">
        <f t="shared" ref="D36:N36" si="5">SUM(D30:D35)</f>
        <v>2317</v>
      </c>
      <c r="E36" s="184">
        <f t="shared" si="5"/>
        <v>2317</v>
      </c>
      <c r="F36" s="184">
        <f t="shared" si="5"/>
        <v>0</v>
      </c>
      <c r="G36" s="184">
        <f t="shared" si="5"/>
        <v>2317</v>
      </c>
      <c r="H36" s="184">
        <f t="shared" si="5"/>
        <v>2317</v>
      </c>
      <c r="I36" s="184">
        <f t="shared" si="5"/>
        <v>0</v>
      </c>
      <c r="J36" s="184">
        <f t="shared" si="5"/>
        <v>0</v>
      </c>
      <c r="K36" s="184">
        <f t="shared" si="5"/>
        <v>0</v>
      </c>
      <c r="L36" s="184">
        <f t="shared" si="5"/>
        <v>1317</v>
      </c>
      <c r="M36" s="184">
        <f t="shared" si="5"/>
        <v>1000</v>
      </c>
      <c r="N36" s="184">
        <f t="shared" si="5"/>
        <v>0</v>
      </c>
      <c r="O36" s="104"/>
    </row>
    <row r="37" spans="1:15" ht="24" customHeight="1">
      <c r="A37" s="276"/>
      <c r="C37" s="92"/>
      <c r="D37" s="104"/>
      <c r="E37" s="104"/>
      <c r="F37" s="104"/>
      <c r="G37" s="104"/>
      <c r="H37" s="104"/>
      <c r="I37" s="104"/>
      <c r="J37" s="104"/>
      <c r="K37" s="104"/>
      <c r="L37" s="104"/>
      <c r="M37" s="104"/>
      <c r="N37" s="104"/>
      <c r="O37" s="104"/>
    </row>
    <row r="38" spans="1:15" ht="24" customHeight="1">
      <c r="A38" s="276"/>
      <c r="C38" s="92"/>
      <c r="D38" s="104"/>
      <c r="E38" s="104"/>
      <c r="F38" s="104"/>
      <c r="G38" s="104"/>
      <c r="H38" s="104"/>
      <c r="I38" s="104"/>
      <c r="J38" s="104"/>
      <c r="K38" s="104"/>
      <c r="L38" s="104"/>
      <c r="M38" s="104"/>
      <c r="N38" s="104"/>
      <c r="O38" s="104"/>
    </row>
    <row r="39" spans="1:15" ht="24" customHeight="1">
      <c r="A39" s="276"/>
      <c r="C39" s="92"/>
      <c r="D39" s="104"/>
      <c r="E39" s="104"/>
      <c r="F39" s="104"/>
      <c r="G39" s="104"/>
      <c r="H39" s="104"/>
      <c r="I39" s="104"/>
      <c r="J39" s="104"/>
      <c r="K39" s="104"/>
      <c r="L39" s="104"/>
      <c r="M39" s="104"/>
      <c r="N39" s="104"/>
      <c r="O39" s="104"/>
    </row>
    <row r="40" spans="1:15" ht="24" customHeight="1">
      <c r="A40" s="276"/>
      <c r="C40" s="92"/>
      <c r="D40" s="104"/>
      <c r="E40" s="104"/>
      <c r="F40" s="104"/>
      <c r="G40" s="104"/>
      <c r="H40" s="104"/>
      <c r="I40" s="104"/>
      <c r="J40" s="104"/>
      <c r="K40" s="104"/>
      <c r="L40" s="104"/>
      <c r="M40" s="104"/>
      <c r="N40" s="104"/>
      <c r="O40" s="104"/>
    </row>
    <row r="41" spans="1:15" ht="24" customHeight="1">
      <c r="A41" s="276"/>
      <c r="C41" s="92"/>
      <c r="D41" s="104"/>
      <c r="E41" s="104"/>
      <c r="F41" s="104"/>
      <c r="G41" s="104"/>
      <c r="H41" s="104"/>
      <c r="I41" s="104"/>
      <c r="J41" s="104"/>
      <c r="K41" s="104"/>
      <c r="L41" s="104"/>
      <c r="M41" s="104"/>
      <c r="N41" s="104"/>
      <c r="O41" s="104"/>
    </row>
    <row r="42" spans="1:15" ht="29.25" customHeight="1" thickBot="1">
      <c r="A42" s="70" t="s">
        <v>355</v>
      </c>
      <c r="B42" s="4"/>
      <c r="C42" s="78"/>
      <c r="D42" s="92"/>
      <c r="E42" s="76"/>
      <c r="F42" s="76"/>
      <c r="G42" s="76"/>
      <c r="H42" s="76"/>
      <c r="I42" s="76"/>
      <c r="J42" s="76"/>
      <c r="K42" s="76"/>
      <c r="L42" s="76"/>
      <c r="M42" s="76"/>
      <c r="N42" s="85" t="s">
        <v>41</v>
      </c>
      <c r="O42" s="99"/>
    </row>
    <row r="43" spans="1:15" ht="48.75" thickBot="1">
      <c r="A43" s="185" t="s">
        <v>259</v>
      </c>
      <c r="B43" s="186" t="s">
        <v>260</v>
      </c>
      <c r="C43" s="187" t="s">
        <v>261</v>
      </c>
      <c r="D43" s="186" t="s">
        <v>262</v>
      </c>
      <c r="E43" s="188" t="s">
        <v>263</v>
      </c>
      <c r="F43" s="189" t="s">
        <v>264</v>
      </c>
      <c r="G43" s="189" t="s">
        <v>265</v>
      </c>
      <c r="H43" s="189" t="s">
        <v>266</v>
      </c>
      <c r="I43" s="86" t="s">
        <v>24</v>
      </c>
      <c r="J43" s="87" t="s">
        <v>25</v>
      </c>
      <c r="K43" s="190" t="s">
        <v>26</v>
      </c>
      <c r="L43" s="189" t="s">
        <v>27</v>
      </c>
      <c r="M43" s="189" t="s">
        <v>28</v>
      </c>
      <c r="N43" s="191" t="s">
        <v>267</v>
      </c>
      <c r="O43" s="84"/>
    </row>
    <row r="44" spans="1:15" ht="45" customHeight="1">
      <c r="A44" s="360">
        <v>1</v>
      </c>
      <c r="B44" s="132" t="s">
        <v>566</v>
      </c>
      <c r="C44" s="365" t="s">
        <v>362</v>
      </c>
      <c r="D44" s="282">
        <v>2975</v>
      </c>
      <c r="E44" s="282">
        <f t="shared" ref="E44:E49" si="6">D44</f>
        <v>2975</v>
      </c>
      <c r="F44" s="282">
        <v>0</v>
      </c>
      <c r="G44" s="132">
        <f>E44-F44</f>
        <v>2975</v>
      </c>
      <c r="H44" s="95">
        <f>SUM(I44:N44)</f>
        <v>2975</v>
      </c>
      <c r="I44" s="282"/>
      <c r="J44" s="282"/>
      <c r="K44" s="282"/>
      <c r="L44" s="282">
        <v>2975</v>
      </c>
      <c r="M44" s="282"/>
      <c r="N44" s="282"/>
      <c r="O44" s="246" t="s">
        <v>45</v>
      </c>
    </row>
    <row r="45" spans="1:15" ht="58.5" customHeight="1">
      <c r="A45" s="360">
        <v>2</v>
      </c>
      <c r="B45" s="133" t="s">
        <v>567</v>
      </c>
      <c r="C45" s="195" t="s">
        <v>300</v>
      </c>
      <c r="D45" s="167">
        <v>1000</v>
      </c>
      <c r="E45" s="346">
        <f t="shared" si="6"/>
        <v>1000</v>
      </c>
      <c r="F45" s="168">
        <v>0</v>
      </c>
      <c r="G45" s="169">
        <f>D45-F45</f>
        <v>1000</v>
      </c>
      <c r="H45" s="170">
        <f>SUM(K45:N45)</f>
        <v>1000</v>
      </c>
      <c r="I45" s="170"/>
      <c r="J45" s="170"/>
      <c r="K45" s="169"/>
      <c r="L45" s="169"/>
      <c r="M45" s="168">
        <v>1000</v>
      </c>
      <c r="N45" s="169"/>
      <c r="O45" s="246" t="s">
        <v>45</v>
      </c>
    </row>
    <row r="46" spans="1:15" ht="58.5" customHeight="1">
      <c r="A46" s="360">
        <v>3</v>
      </c>
      <c r="B46" s="343" t="s">
        <v>568</v>
      </c>
      <c r="C46" s="195" t="s">
        <v>300</v>
      </c>
      <c r="D46" s="167">
        <f>78+251</f>
        <v>329</v>
      </c>
      <c r="E46" s="344">
        <f t="shared" si="6"/>
        <v>329</v>
      </c>
      <c r="F46" s="168">
        <v>78</v>
      </c>
      <c r="G46" s="169">
        <f>D46-F46</f>
        <v>251</v>
      </c>
      <c r="H46" s="170">
        <f>SUM(K46:N46)</f>
        <v>251</v>
      </c>
      <c r="I46" s="170"/>
      <c r="J46" s="170"/>
      <c r="K46" s="169"/>
      <c r="L46" s="169"/>
      <c r="M46" s="168">
        <v>251</v>
      </c>
      <c r="N46" s="169"/>
      <c r="O46" s="67" t="s">
        <v>45</v>
      </c>
    </row>
    <row r="47" spans="1:15" ht="59.25" customHeight="1">
      <c r="A47" s="360">
        <v>4</v>
      </c>
      <c r="B47" s="343" t="s">
        <v>569</v>
      </c>
      <c r="C47" s="195" t="s">
        <v>300</v>
      </c>
      <c r="D47" s="167">
        <v>393</v>
      </c>
      <c r="E47" s="344">
        <f t="shared" si="6"/>
        <v>393</v>
      </c>
      <c r="F47" s="168">
        <v>0</v>
      </c>
      <c r="G47" s="169">
        <f>D47-F47</f>
        <v>393</v>
      </c>
      <c r="H47" s="170">
        <f>SUM(K47:N47)</f>
        <v>393</v>
      </c>
      <c r="I47" s="170"/>
      <c r="J47" s="170"/>
      <c r="K47" s="169"/>
      <c r="L47" s="169"/>
      <c r="M47" s="168">
        <v>393</v>
      </c>
      <c r="N47" s="169"/>
      <c r="O47" s="67" t="s">
        <v>45</v>
      </c>
    </row>
    <row r="48" spans="1:15" ht="77.25" customHeight="1">
      <c r="A48" s="360">
        <v>5</v>
      </c>
      <c r="B48" s="133" t="s">
        <v>570</v>
      </c>
      <c r="C48" s="195" t="s">
        <v>300</v>
      </c>
      <c r="D48" s="167">
        <v>530</v>
      </c>
      <c r="E48" s="346">
        <f>D48</f>
        <v>530</v>
      </c>
      <c r="F48" s="168">
        <v>0</v>
      </c>
      <c r="G48" s="169">
        <f>D48-F48</f>
        <v>530</v>
      </c>
      <c r="H48" s="170">
        <f>SUM(K48:N48)</f>
        <v>530</v>
      </c>
      <c r="I48" s="170"/>
      <c r="J48" s="170"/>
      <c r="K48" s="169"/>
      <c r="L48" s="169"/>
      <c r="M48" s="168">
        <v>530</v>
      </c>
      <c r="N48" s="169"/>
      <c r="O48" s="246" t="s">
        <v>45</v>
      </c>
    </row>
    <row r="49" spans="1:15" ht="86.25" customHeight="1">
      <c r="A49" s="360">
        <v>6</v>
      </c>
      <c r="B49" s="133" t="s">
        <v>571</v>
      </c>
      <c r="C49" s="195" t="s">
        <v>300</v>
      </c>
      <c r="D49" s="167">
        <f>278+456</f>
        <v>734</v>
      </c>
      <c r="E49" s="346">
        <f t="shared" si="6"/>
        <v>734</v>
      </c>
      <c r="F49" s="168">
        <v>456</v>
      </c>
      <c r="G49" s="169">
        <f>D49-F49</f>
        <v>278</v>
      </c>
      <c r="H49" s="170">
        <f>SUM(K49:N49)</f>
        <v>278</v>
      </c>
      <c r="I49" s="170"/>
      <c r="J49" s="170"/>
      <c r="K49" s="169"/>
      <c r="L49" s="169"/>
      <c r="M49" s="168">
        <v>278</v>
      </c>
      <c r="N49" s="169"/>
      <c r="O49" s="246" t="s">
        <v>45</v>
      </c>
    </row>
    <row r="50" spans="1:15" ht="23.25" customHeight="1">
      <c r="A50" s="78"/>
      <c r="B50" s="92"/>
      <c r="C50" s="78" t="s">
        <v>304</v>
      </c>
      <c r="D50" s="101">
        <f t="shared" ref="D50:N50" si="7">SUM(D44:D49)</f>
        <v>5961</v>
      </c>
      <c r="E50" s="101">
        <f t="shared" si="7"/>
        <v>5961</v>
      </c>
      <c r="F50" s="101">
        <f t="shared" si="7"/>
        <v>534</v>
      </c>
      <c r="G50" s="101">
        <f t="shared" si="7"/>
        <v>5427</v>
      </c>
      <c r="H50" s="101">
        <f t="shared" si="7"/>
        <v>5427</v>
      </c>
      <c r="I50" s="101">
        <f t="shared" si="7"/>
        <v>0</v>
      </c>
      <c r="J50" s="101">
        <f t="shared" si="7"/>
        <v>0</v>
      </c>
      <c r="K50" s="101">
        <f t="shared" si="7"/>
        <v>0</v>
      </c>
      <c r="L50" s="101">
        <f t="shared" si="7"/>
        <v>2975</v>
      </c>
      <c r="M50" s="101">
        <f t="shared" si="7"/>
        <v>2452</v>
      </c>
      <c r="N50" s="101">
        <f t="shared" si="7"/>
        <v>0</v>
      </c>
      <c r="O50" s="94"/>
    </row>
    <row r="51" spans="1:15" ht="18.75" hidden="1" customHeight="1">
      <c r="A51" s="78"/>
      <c r="B51" s="92"/>
      <c r="C51" s="78"/>
      <c r="D51" s="125"/>
      <c r="E51" s="125"/>
      <c r="F51" s="125"/>
      <c r="G51" s="125"/>
      <c r="H51" s="125"/>
      <c r="I51" s="125"/>
      <c r="J51" s="125"/>
      <c r="K51" s="125"/>
      <c r="L51" s="125"/>
      <c r="M51" s="125"/>
      <c r="N51" s="125"/>
      <c r="O51" s="94"/>
    </row>
    <row r="52" spans="1:15" ht="21.75" hidden="1" customHeight="1">
      <c r="A52" s="276"/>
      <c r="C52" s="92"/>
      <c r="D52" s="104"/>
      <c r="E52" s="104"/>
      <c r="F52" s="104"/>
      <c r="G52" s="104"/>
      <c r="H52" s="104"/>
      <c r="I52" s="104"/>
      <c r="J52" s="104"/>
      <c r="K52" s="104"/>
      <c r="L52" s="104"/>
      <c r="M52" s="104"/>
      <c r="N52" s="104"/>
    </row>
    <row r="53" spans="1:15" ht="27.75" hidden="1" customHeight="1" thickBot="1">
      <c r="A53" s="76" t="s">
        <v>381</v>
      </c>
      <c r="B53" s="9"/>
      <c r="C53" s="9"/>
      <c r="D53" s="9"/>
      <c r="E53" s="9"/>
      <c r="F53" s="9"/>
      <c r="G53" s="9"/>
      <c r="H53" s="6"/>
      <c r="I53" s="6"/>
      <c r="J53" s="6"/>
      <c r="K53" s="6"/>
      <c r="L53" s="49"/>
      <c r="M53" s="6"/>
      <c r="N53" s="102" t="s">
        <v>41</v>
      </c>
      <c r="O53" s="205"/>
    </row>
    <row r="54" spans="1:15" s="6" customFormat="1" ht="54.75" hidden="1" customHeight="1" thickBot="1">
      <c r="A54" s="185" t="s">
        <v>259</v>
      </c>
      <c r="B54" s="186" t="s">
        <v>260</v>
      </c>
      <c r="C54" s="187" t="s">
        <v>261</v>
      </c>
      <c r="D54" s="186" t="s">
        <v>262</v>
      </c>
      <c r="E54" s="188" t="s">
        <v>263</v>
      </c>
      <c r="F54" s="189" t="s">
        <v>551</v>
      </c>
      <c r="G54" s="189" t="s">
        <v>265</v>
      </c>
      <c r="H54" s="189" t="s">
        <v>552</v>
      </c>
      <c r="I54" s="86" t="s">
        <v>553</v>
      </c>
      <c r="J54" s="87" t="s">
        <v>25</v>
      </c>
      <c r="K54" s="190" t="s">
        <v>554</v>
      </c>
      <c r="L54" s="189" t="s">
        <v>27</v>
      </c>
      <c r="M54" s="189" t="s">
        <v>28</v>
      </c>
      <c r="N54" s="191" t="s">
        <v>267</v>
      </c>
      <c r="O54" s="112"/>
    </row>
    <row r="55" spans="1:15" ht="57" hidden="1" customHeight="1">
      <c r="A55" s="194">
        <v>1</v>
      </c>
      <c r="B55" s="132"/>
      <c r="C55" s="195" t="s">
        <v>520</v>
      </c>
      <c r="D55" s="163"/>
      <c r="E55" s="163">
        <f>D55</f>
        <v>0</v>
      </c>
      <c r="F55" s="163">
        <v>0</v>
      </c>
      <c r="G55" s="164">
        <f>E55-F55</f>
        <v>0</v>
      </c>
      <c r="H55" s="165">
        <f>SUM(I55:N55)</f>
        <v>0</v>
      </c>
      <c r="I55" s="163"/>
      <c r="J55" s="163"/>
      <c r="K55" s="163"/>
      <c r="L55" s="163"/>
      <c r="M55" s="163"/>
      <c r="N55" s="163"/>
      <c r="O55" s="117" t="s">
        <v>572</v>
      </c>
    </row>
    <row r="56" spans="1:15" ht="25.5" hidden="1" customHeight="1">
      <c r="A56" s="197"/>
      <c r="C56" s="206" t="s">
        <v>304</v>
      </c>
      <c r="D56" s="207">
        <f t="shared" ref="D56:N56" si="8">SUM(D55:D55)</f>
        <v>0</v>
      </c>
      <c r="E56" s="207">
        <f t="shared" si="8"/>
        <v>0</v>
      </c>
      <c r="F56" s="207">
        <f t="shared" si="8"/>
        <v>0</v>
      </c>
      <c r="G56" s="207">
        <f t="shared" si="8"/>
        <v>0</v>
      </c>
      <c r="H56" s="207">
        <f t="shared" si="8"/>
        <v>0</v>
      </c>
      <c r="I56" s="207">
        <f t="shared" si="8"/>
        <v>0</v>
      </c>
      <c r="J56" s="207">
        <f t="shared" si="8"/>
        <v>0</v>
      </c>
      <c r="K56" s="207">
        <f t="shared" si="8"/>
        <v>0</v>
      </c>
      <c r="L56" s="207">
        <f t="shared" si="8"/>
        <v>0</v>
      </c>
      <c r="M56" s="207">
        <f t="shared" si="8"/>
        <v>0</v>
      </c>
      <c r="N56" s="207">
        <f t="shared" si="8"/>
        <v>0</v>
      </c>
    </row>
    <row r="57" spans="1:15" ht="25.5" hidden="1" customHeight="1">
      <c r="A57" s="197"/>
      <c r="C57" s="208"/>
      <c r="D57" s="209"/>
      <c r="E57" s="209"/>
      <c r="F57" s="209"/>
      <c r="G57" s="209"/>
      <c r="H57" s="209"/>
      <c r="I57" s="209"/>
      <c r="J57" s="209"/>
      <c r="K57" s="209"/>
      <c r="L57" s="209"/>
      <c r="M57" s="209"/>
      <c r="N57" s="209"/>
    </row>
    <row r="58" spans="1:15" ht="20.25" customHeight="1">
      <c r="A58" s="197"/>
      <c r="C58" s="208"/>
      <c r="D58" s="209"/>
      <c r="E58" s="209"/>
      <c r="F58" s="209"/>
      <c r="G58" s="209"/>
      <c r="H58" s="209"/>
      <c r="I58" s="209"/>
      <c r="J58" s="209"/>
      <c r="K58" s="209"/>
      <c r="L58" s="209"/>
      <c r="M58" s="209"/>
      <c r="N58" s="209"/>
    </row>
    <row r="59" spans="1:15" ht="20.25" customHeight="1">
      <c r="A59" s="197"/>
      <c r="C59" s="208"/>
      <c r="D59" s="209"/>
      <c r="E59" s="209"/>
      <c r="F59" s="209"/>
      <c r="G59" s="209"/>
      <c r="H59" s="209"/>
      <c r="I59" s="209"/>
      <c r="J59" s="209"/>
      <c r="K59" s="209"/>
      <c r="L59" s="209"/>
      <c r="M59" s="209"/>
      <c r="N59" s="209"/>
    </row>
    <row r="60" spans="1:15" ht="20.25" customHeight="1">
      <c r="A60" s="197"/>
      <c r="C60" s="208"/>
      <c r="D60" s="209"/>
      <c r="E60" s="209"/>
      <c r="F60" s="209"/>
      <c r="G60" s="209"/>
      <c r="H60" s="209"/>
      <c r="I60" s="209"/>
      <c r="J60" s="209"/>
      <c r="K60" s="209"/>
      <c r="L60" s="209"/>
      <c r="M60" s="209"/>
      <c r="N60" s="209"/>
    </row>
    <row r="61" spans="1:15" s="74" customFormat="1" ht="24.75" customHeight="1" thickBot="1">
      <c r="A61" s="277" t="s">
        <v>382</v>
      </c>
      <c r="B61" s="4"/>
      <c r="C61" s="4"/>
      <c r="D61" s="72"/>
      <c r="E61" s="72"/>
      <c r="F61" s="4"/>
      <c r="G61" s="4"/>
      <c r="J61" s="4"/>
      <c r="L61" s="85"/>
      <c r="M61" s="110"/>
      <c r="N61" s="102" t="s">
        <v>41</v>
      </c>
      <c r="O61" s="111"/>
    </row>
    <row r="62" spans="1:15" s="74" customFormat="1" ht="48.75" thickBot="1">
      <c r="A62" s="185" t="s">
        <v>259</v>
      </c>
      <c r="B62" s="186" t="s">
        <v>260</v>
      </c>
      <c r="C62" s="187" t="s">
        <v>261</v>
      </c>
      <c r="D62" s="186" t="s">
        <v>262</v>
      </c>
      <c r="E62" s="188" t="s">
        <v>263</v>
      </c>
      <c r="F62" s="189" t="s">
        <v>264</v>
      </c>
      <c r="G62" s="189" t="s">
        <v>265</v>
      </c>
      <c r="H62" s="189" t="s">
        <v>266</v>
      </c>
      <c r="I62" s="86" t="s">
        <v>24</v>
      </c>
      <c r="J62" s="87" t="s">
        <v>25</v>
      </c>
      <c r="K62" s="190" t="s">
        <v>26</v>
      </c>
      <c r="L62" s="189" t="s">
        <v>27</v>
      </c>
      <c r="M62" s="189" t="s">
        <v>28</v>
      </c>
      <c r="N62" s="191" t="s">
        <v>267</v>
      </c>
      <c r="O62" s="111"/>
    </row>
    <row r="63" spans="1:15" s="74" customFormat="1" ht="67.5">
      <c r="A63" s="194">
        <v>1</v>
      </c>
      <c r="B63" s="345" t="s">
        <v>573</v>
      </c>
      <c r="C63" s="195" t="s">
        <v>300</v>
      </c>
      <c r="D63" s="349">
        <v>185</v>
      </c>
      <c r="E63" s="350">
        <f>D63</f>
        <v>185</v>
      </c>
      <c r="F63" s="351">
        <v>0</v>
      </c>
      <c r="G63" s="169">
        <f>D63-F63</f>
        <v>185</v>
      </c>
      <c r="H63" s="170">
        <f>SUM(K63:N63)</f>
        <v>185</v>
      </c>
      <c r="I63" s="158"/>
      <c r="J63" s="158"/>
      <c r="K63" s="351"/>
      <c r="L63" s="351">
        <v>0</v>
      </c>
      <c r="M63" s="346">
        <v>185</v>
      </c>
      <c r="N63" s="169"/>
      <c r="O63" s="67" t="s">
        <v>45</v>
      </c>
    </row>
    <row r="64" spans="1:15" s="75" customFormat="1" ht="17.25" customHeight="1">
      <c r="A64" s="114"/>
      <c r="B64" s="127"/>
      <c r="C64" s="115" t="s">
        <v>304</v>
      </c>
      <c r="D64" s="155">
        <f t="shared" ref="D64:N64" si="9">SUM(D63:D63)</f>
        <v>185</v>
      </c>
      <c r="E64" s="155">
        <f t="shared" si="9"/>
        <v>185</v>
      </c>
      <c r="F64" s="155">
        <f t="shared" si="9"/>
        <v>0</v>
      </c>
      <c r="G64" s="155">
        <f t="shared" si="9"/>
        <v>185</v>
      </c>
      <c r="H64" s="155">
        <f t="shared" si="9"/>
        <v>185</v>
      </c>
      <c r="I64" s="155">
        <f t="shared" si="9"/>
        <v>0</v>
      </c>
      <c r="J64" s="155">
        <f t="shared" si="9"/>
        <v>0</v>
      </c>
      <c r="K64" s="155">
        <f t="shared" si="9"/>
        <v>0</v>
      </c>
      <c r="L64" s="155">
        <f t="shared" si="9"/>
        <v>0</v>
      </c>
      <c r="M64" s="155">
        <f t="shared" si="9"/>
        <v>185</v>
      </c>
      <c r="N64" s="155">
        <f t="shared" si="9"/>
        <v>0</v>
      </c>
      <c r="O64" s="116"/>
    </row>
    <row r="65" spans="1:19" s="75" customFormat="1" ht="17.25" customHeight="1">
      <c r="A65" s="114"/>
      <c r="B65" s="127"/>
      <c r="C65" s="128"/>
      <c r="D65" s="141"/>
      <c r="E65" s="141"/>
      <c r="F65" s="141"/>
      <c r="G65" s="141"/>
      <c r="H65" s="141"/>
      <c r="I65" s="141"/>
      <c r="J65" s="141"/>
      <c r="K65" s="141"/>
      <c r="L65" s="141"/>
      <c r="M65" s="141"/>
      <c r="N65" s="141"/>
      <c r="O65" s="116"/>
    </row>
    <row r="66" spans="1:19" s="75" customFormat="1" ht="36.75" customHeight="1" thickBot="1">
      <c r="A66" s="70" t="s">
        <v>433</v>
      </c>
      <c r="B66" s="74"/>
      <c r="C66" s="71"/>
      <c r="D66" s="4"/>
      <c r="E66" s="72"/>
      <c r="F66" s="4"/>
      <c r="G66" s="4"/>
      <c r="H66" s="4"/>
      <c r="I66" s="4"/>
      <c r="J66" s="4"/>
      <c r="K66" s="4"/>
      <c r="L66" s="73" t="s">
        <v>41</v>
      </c>
      <c r="M66" s="67"/>
      <c r="N66" s="74"/>
      <c r="O66" s="111"/>
    </row>
    <row r="67" spans="1:19" s="75" customFormat="1" ht="47.25" customHeight="1" thickBot="1">
      <c r="A67" s="185" t="s">
        <v>259</v>
      </c>
      <c r="B67" s="186" t="s">
        <v>260</v>
      </c>
      <c r="C67" s="187" t="s">
        <v>261</v>
      </c>
      <c r="D67" s="186" t="s">
        <v>262</v>
      </c>
      <c r="E67" s="188" t="s">
        <v>263</v>
      </c>
      <c r="F67" s="189" t="s">
        <v>264</v>
      </c>
      <c r="G67" s="189" t="s">
        <v>265</v>
      </c>
      <c r="H67" s="189" t="s">
        <v>266</v>
      </c>
      <c r="I67" s="86" t="s">
        <v>24</v>
      </c>
      <c r="J67" s="87" t="s">
        <v>25</v>
      </c>
      <c r="K67" s="190" t="s">
        <v>26</v>
      </c>
      <c r="L67" s="189" t="s">
        <v>27</v>
      </c>
      <c r="M67" s="189" t="s">
        <v>28</v>
      </c>
      <c r="N67" s="191" t="s">
        <v>267</v>
      </c>
      <c r="O67" s="112"/>
    </row>
    <row r="68" spans="1:19" s="75" customFormat="1" ht="178.5">
      <c r="A68" s="194">
        <v>1</v>
      </c>
      <c r="B68" s="164" t="s">
        <v>574</v>
      </c>
      <c r="C68" s="195" t="s">
        <v>269</v>
      </c>
      <c r="D68" s="89">
        <f>4212+300+500-44</f>
        <v>4968</v>
      </c>
      <c r="E68" s="89">
        <f>D68</f>
        <v>4968</v>
      </c>
      <c r="F68" s="89">
        <f>1505+2086+621+256</f>
        <v>4468</v>
      </c>
      <c r="G68" s="89">
        <f>E68-F68</f>
        <v>500</v>
      </c>
      <c r="H68" s="90">
        <f>SUM(J68:N68)</f>
        <v>500</v>
      </c>
      <c r="I68" s="91"/>
      <c r="J68" s="91"/>
      <c r="K68" s="91"/>
      <c r="L68" s="283"/>
      <c r="M68" s="91">
        <v>500</v>
      </c>
      <c r="N68" s="91"/>
      <c r="O68" s="117" t="s">
        <v>45</v>
      </c>
    </row>
    <row r="69" spans="1:19" s="75" customFormat="1" ht="78" customHeight="1">
      <c r="A69" s="194">
        <v>2</v>
      </c>
      <c r="B69" s="352" t="s">
        <v>575</v>
      </c>
      <c r="C69" s="195" t="s">
        <v>300</v>
      </c>
      <c r="D69" s="167">
        <f>52+91+1000</f>
        <v>1143</v>
      </c>
      <c r="E69" s="346">
        <f>D69</f>
        <v>1143</v>
      </c>
      <c r="F69" s="168">
        <f>52+91</f>
        <v>143</v>
      </c>
      <c r="G69" s="169">
        <f>D69-F69</f>
        <v>1000</v>
      </c>
      <c r="H69" s="170">
        <f>SUM(K69:N69)</f>
        <v>1000</v>
      </c>
      <c r="I69" s="170"/>
      <c r="J69" s="170"/>
      <c r="K69" s="169"/>
      <c r="L69" s="169"/>
      <c r="M69" s="168">
        <v>1000</v>
      </c>
      <c r="N69" s="169"/>
      <c r="O69" s="67" t="s">
        <v>45</v>
      </c>
    </row>
    <row r="70" spans="1:19" s="75" customFormat="1" ht="73.5" customHeight="1">
      <c r="A70" s="194">
        <v>3</v>
      </c>
      <c r="B70" s="352" t="s">
        <v>576</v>
      </c>
      <c r="C70" s="195" t="s">
        <v>300</v>
      </c>
      <c r="D70" s="167">
        <v>47</v>
      </c>
      <c r="E70" s="346">
        <f>D70</f>
        <v>47</v>
      </c>
      <c r="F70" s="168">
        <v>0</v>
      </c>
      <c r="G70" s="169">
        <f>D70-F70</f>
        <v>47</v>
      </c>
      <c r="H70" s="170">
        <f>SUM(K70:N70)</f>
        <v>47</v>
      </c>
      <c r="I70" s="170"/>
      <c r="J70" s="170"/>
      <c r="K70" s="169"/>
      <c r="L70" s="169"/>
      <c r="M70" s="168">
        <v>47</v>
      </c>
      <c r="N70" s="169"/>
      <c r="O70" s="67" t="s">
        <v>45</v>
      </c>
      <c r="S70" s="172"/>
    </row>
    <row r="71" spans="1:19" s="75" customFormat="1" ht="20.25">
      <c r="A71" s="276"/>
      <c r="B71" s="3"/>
      <c r="C71" s="123" t="s">
        <v>304</v>
      </c>
      <c r="D71" s="97">
        <f t="shared" ref="D71:N71" si="10">SUM(D68:D70)</f>
        <v>6158</v>
      </c>
      <c r="E71" s="97">
        <f t="shared" si="10"/>
        <v>6158</v>
      </c>
      <c r="F71" s="97">
        <f t="shared" si="10"/>
        <v>4611</v>
      </c>
      <c r="G71" s="97">
        <f t="shared" si="10"/>
        <v>1547</v>
      </c>
      <c r="H71" s="97">
        <f t="shared" si="10"/>
        <v>1547</v>
      </c>
      <c r="I71" s="97">
        <f t="shared" si="10"/>
        <v>0</v>
      </c>
      <c r="J71" s="97">
        <f t="shared" si="10"/>
        <v>0</v>
      </c>
      <c r="K71" s="97">
        <f t="shared" si="10"/>
        <v>0</v>
      </c>
      <c r="L71" s="97">
        <f t="shared" si="10"/>
        <v>0</v>
      </c>
      <c r="M71" s="97">
        <f t="shared" si="10"/>
        <v>1547</v>
      </c>
      <c r="N71" s="97">
        <f t="shared" si="10"/>
        <v>0</v>
      </c>
      <c r="O71" s="111"/>
    </row>
    <row r="72" spans="1:19" s="75" customFormat="1" ht="19.5" customHeight="1">
      <c r="A72" s="276"/>
      <c r="B72" s="3"/>
      <c r="C72" s="92"/>
      <c r="D72" s="104"/>
      <c r="E72" s="104"/>
      <c r="F72" s="104"/>
      <c r="G72" s="104"/>
      <c r="H72" s="104"/>
      <c r="I72" s="104"/>
      <c r="J72" s="104"/>
      <c r="K72" s="104"/>
      <c r="L72" s="104"/>
      <c r="M72" s="104"/>
      <c r="N72" s="104"/>
      <c r="O72" s="111"/>
    </row>
    <row r="73" spans="1:19" s="75" customFormat="1" ht="19.5" customHeight="1">
      <c r="A73" s="288"/>
      <c r="B73" s="289"/>
      <c r="C73" s="286"/>
      <c r="D73" s="290"/>
      <c r="E73" s="293" t="s">
        <v>244</v>
      </c>
      <c r="F73" s="290"/>
      <c r="G73" s="290"/>
      <c r="H73" s="290"/>
      <c r="I73" s="290"/>
      <c r="J73" s="290"/>
      <c r="K73" s="290"/>
      <c r="L73" s="290"/>
      <c r="M73" s="290"/>
      <c r="N73" s="290"/>
      <c r="O73" s="329"/>
    </row>
    <row r="74" spans="1:19" s="75" customFormat="1" ht="16.5" customHeight="1">
      <c r="A74" s="288"/>
      <c r="B74" s="292" t="s">
        <v>547</v>
      </c>
      <c r="C74" s="291"/>
      <c r="D74" s="290"/>
      <c r="E74" s="291"/>
      <c r="F74" s="290"/>
      <c r="G74" s="290"/>
      <c r="H74" s="290"/>
      <c r="I74" s="290"/>
      <c r="J74" s="290" t="s">
        <v>245</v>
      </c>
      <c r="K74" s="315"/>
      <c r="L74" s="291"/>
      <c r="M74" s="290"/>
      <c r="N74" s="290"/>
      <c r="O74" s="329"/>
    </row>
    <row r="75" spans="1:19" s="75" customFormat="1" ht="16.5" customHeight="1">
      <c r="A75" s="296"/>
      <c r="B75" s="292" t="s">
        <v>246</v>
      </c>
      <c r="C75" s="291"/>
      <c r="D75" s="298"/>
      <c r="E75" s="299"/>
      <c r="F75" s="299"/>
      <c r="G75" s="303" t="s">
        <v>248</v>
      </c>
      <c r="H75" s="286"/>
      <c r="I75" s="291"/>
      <c r="J75" s="291"/>
      <c r="K75" s="298"/>
      <c r="L75" s="291" t="s">
        <v>247</v>
      </c>
      <c r="M75" s="298"/>
      <c r="N75" s="300"/>
      <c r="O75" s="329"/>
    </row>
    <row r="76" spans="1:19" ht="15.75">
      <c r="A76" s="301"/>
      <c r="B76" s="290"/>
      <c r="C76" s="299"/>
      <c r="D76" s="299"/>
      <c r="E76" s="298"/>
      <c r="F76" s="322"/>
      <c r="G76" s="303" t="s">
        <v>250</v>
      </c>
      <c r="H76" s="302"/>
      <c r="I76" s="291"/>
      <c r="J76" s="291"/>
      <c r="K76" s="299"/>
      <c r="L76" s="299"/>
      <c r="M76" s="299"/>
      <c r="N76" s="300"/>
      <c r="O76" s="315"/>
    </row>
    <row r="77" spans="1:19" s="131" customFormat="1" ht="15.75">
      <c r="A77" s="301"/>
      <c r="B77" s="302" t="s">
        <v>249</v>
      </c>
      <c r="C77" s="297"/>
      <c r="D77" s="290"/>
      <c r="E77" s="290"/>
      <c r="F77" s="299"/>
      <c r="G77" s="307" t="s">
        <v>253</v>
      </c>
      <c r="H77" s="297"/>
      <c r="I77" s="308"/>
      <c r="J77" s="291"/>
      <c r="K77" s="299"/>
      <c r="L77" s="302" t="s">
        <v>251</v>
      </c>
      <c r="M77" s="297"/>
      <c r="N77" s="300"/>
      <c r="O77" s="329"/>
      <c r="P77" s="75"/>
    </row>
    <row r="78" spans="1:19" s="131" customFormat="1" ht="13.5" customHeight="1">
      <c r="A78" s="305"/>
      <c r="B78" s="302" t="s">
        <v>252</v>
      </c>
      <c r="C78" s="297"/>
      <c r="D78" s="290"/>
      <c r="E78" s="306"/>
      <c r="F78" s="299"/>
      <c r="G78" s="299"/>
      <c r="H78" s="297"/>
      <c r="I78" s="297"/>
      <c r="J78" s="308"/>
      <c r="K78" s="308"/>
      <c r="L78" s="302" t="s">
        <v>254</v>
      </c>
      <c r="M78" s="297"/>
      <c r="N78" s="300"/>
      <c r="O78" s="330"/>
      <c r="P78" s="111"/>
    </row>
    <row r="79" spans="1:19" ht="15.75">
      <c r="A79" s="305"/>
      <c r="B79" s="313"/>
      <c r="C79" s="313"/>
      <c r="D79" s="310"/>
      <c r="E79" s="313"/>
      <c r="F79" s="304"/>
      <c r="G79" s="313"/>
      <c r="H79" s="310"/>
      <c r="I79" s="371"/>
      <c r="J79" s="312"/>
      <c r="K79" s="313"/>
      <c r="L79" s="304"/>
      <c r="M79" s="304"/>
      <c r="N79" s="304"/>
      <c r="O79" s="329"/>
    </row>
    <row r="80" spans="1:19" ht="15">
      <c r="A80" s="145"/>
      <c r="B80" s="145"/>
      <c r="C80" s="145"/>
      <c r="D80" s="145"/>
      <c r="E80" s="145"/>
      <c r="F80" s="6"/>
      <c r="G80" s="145"/>
      <c r="H80" s="145"/>
      <c r="I80" s="145"/>
      <c r="J80" s="145"/>
      <c r="K80" s="146"/>
      <c r="L80" s="20"/>
      <c r="M80" s="129"/>
      <c r="N80" s="22"/>
    </row>
    <row r="81" spans="1:14" ht="13.5">
      <c r="J81" s="78"/>
    </row>
    <row r="82" spans="1:14" ht="13.5">
      <c r="B82" s="147"/>
      <c r="J82" s="78"/>
    </row>
    <row r="83" spans="1:14" ht="13.5">
      <c r="D83" s="6"/>
      <c r="E83" s="6"/>
      <c r="F83" s="6"/>
      <c r="G83" s="6"/>
      <c r="H83" s="78"/>
      <c r="I83" s="78"/>
      <c r="J83" s="78"/>
      <c r="K83" s="6"/>
      <c r="L83" s="6"/>
      <c r="M83" s="6"/>
      <c r="N83" s="6"/>
    </row>
    <row r="84" spans="1:14" ht="13.5">
      <c r="D84" s="6"/>
      <c r="E84" s="6"/>
      <c r="F84" s="6"/>
      <c r="G84" s="6"/>
      <c r="H84" s="78"/>
      <c r="I84" s="78"/>
      <c r="J84" s="78"/>
      <c r="K84" s="6"/>
      <c r="L84" s="6"/>
      <c r="M84" s="6"/>
      <c r="N84" s="6"/>
    </row>
    <row r="85" spans="1:14" ht="13.5">
      <c r="A85" s="6"/>
      <c r="B85" s="6"/>
      <c r="C85" s="6"/>
      <c r="D85" s="6"/>
      <c r="E85" s="6"/>
      <c r="F85" s="6"/>
      <c r="G85" s="6"/>
      <c r="H85" s="78"/>
      <c r="I85" s="78"/>
      <c r="J85" s="78"/>
      <c r="K85" s="6"/>
      <c r="L85" s="6"/>
      <c r="M85" s="6"/>
      <c r="N85" s="6"/>
    </row>
    <row r="86" spans="1:14">
      <c r="B86" s="147"/>
    </row>
  </sheetData>
  <mergeCells count="1">
    <mergeCell ref="A8:N8"/>
  </mergeCells>
  <phoneticPr fontId="4" type="noConversion"/>
  <pageMargins left="0.43307086614173229" right="0.35433070866141736" top="0.78740157480314965" bottom="0.78740157480314965" header="0.23622047244094491" footer="0.39370078740157483"/>
  <pageSetup paperSize="9" orientation="landscape" r:id="rId1"/>
  <headerFooter alignWithMargins="0">
    <oddFooter xml:space="preserve">&amp;C&amp;8Pagina &amp;P din &amp;N&amp;R&amp;8(L1) HCL nr.  din 
Alte cheltuieli asimilate investițiilor
ANEXA 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O349"/>
  <sheetViews>
    <sheetView view="pageBreakPreview" topLeftCell="A292" zoomScale="90" zoomScaleNormal="100" zoomScaleSheetLayoutView="90" workbookViewId="0">
      <selection activeCell="F145" sqref="F145"/>
    </sheetView>
  </sheetViews>
  <sheetFormatPr defaultRowHeight="15"/>
  <cols>
    <col min="1" max="1" width="3.5703125" style="19" customWidth="1"/>
    <col min="2" max="2" width="41.42578125" style="129" customWidth="1"/>
    <col min="3" max="3" width="10.28515625" style="20" customWidth="1"/>
    <col min="4" max="5" width="10" style="20" customWidth="1"/>
    <col min="6" max="6" width="10.7109375" style="20" customWidth="1"/>
    <col min="7" max="8" width="9.5703125" style="20" customWidth="1"/>
    <col min="9" max="9" width="8.140625" style="20" customWidth="1"/>
    <col min="10" max="10" width="9.28515625" style="20" customWidth="1"/>
    <col min="11" max="11" width="8.7109375" style="20" customWidth="1"/>
    <col min="12" max="12" width="8.28515625" style="20" customWidth="1"/>
    <col min="13" max="13" width="7.85546875" style="20" customWidth="1"/>
    <col min="14" max="14" width="5.85546875" style="22" customWidth="1"/>
    <col min="15" max="16384" width="9.140625" style="131"/>
  </cols>
  <sheetData>
    <row r="1" spans="1:14" ht="21.75" customHeight="1">
      <c r="B1" s="13" t="s">
        <v>0</v>
      </c>
      <c r="E1" s="68"/>
      <c r="G1" s="3"/>
      <c r="H1" s="75"/>
      <c r="I1" s="248"/>
      <c r="J1" s="249"/>
      <c r="L1" s="3"/>
      <c r="M1" s="21" t="s">
        <v>1</v>
      </c>
    </row>
    <row r="2" spans="1:14">
      <c r="B2" s="23" t="s">
        <v>2</v>
      </c>
      <c r="E2" s="317"/>
      <c r="F2" s="314" t="s">
        <v>3</v>
      </c>
      <c r="G2" s="319"/>
      <c r="H2" s="314" t="s">
        <v>4</v>
      </c>
      <c r="I2" s="314"/>
      <c r="J2" s="314" t="s">
        <v>5</v>
      </c>
      <c r="K2" s="312"/>
      <c r="L2" s="3"/>
      <c r="M2" s="21"/>
    </row>
    <row r="3" spans="1:14">
      <c r="B3" s="23" t="s">
        <v>6</v>
      </c>
      <c r="D3" s="129"/>
      <c r="E3" s="317"/>
      <c r="F3" s="314" t="s">
        <v>7</v>
      </c>
      <c r="G3" s="319"/>
      <c r="H3" s="315"/>
      <c r="I3" s="314"/>
      <c r="J3" s="314" t="s">
        <v>8</v>
      </c>
      <c r="K3" s="312"/>
      <c r="L3" s="3"/>
    </row>
    <row r="4" spans="1:14">
      <c r="B4" s="23" t="s">
        <v>9</v>
      </c>
      <c r="D4" s="129"/>
      <c r="E4" s="313"/>
      <c r="F4" s="314" t="s">
        <v>10</v>
      </c>
      <c r="G4" s="316"/>
      <c r="H4" s="313"/>
      <c r="I4" s="313"/>
      <c r="J4" s="314" t="s">
        <v>11</v>
      </c>
      <c r="K4" s="312"/>
    </row>
    <row r="5" spans="1:14">
      <c r="B5" s="23" t="s">
        <v>12</v>
      </c>
      <c r="D5" s="129"/>
      <c r="E5" s="313"/>
      <c r="F5" s="317" t="s">
        <v>13</v>
      </c>
      <c r="G5" s="319"/>
      <c r="H5" s="319"/>
      <c r="I5" s="319"/>
      <c r="J5" s="319"/>
      <c r="K5" s="313"/>
    </row>
    <row r="6" spans="1:14">
      <c r="E6" s="129"/>
      <c r="F6" s="129"/>
      <c r="G6" s="235"/>
      <c r="H6" s="1"/>
      <c r="J6" s="1"/>
      <c r="K6" s="129"/>
      <c r="L6" s="3"/>
    </row>
    <row r="7" spans="1:14" ht="10.5" customHeight="1">
      <c r="B7" s="23" t="s">
        <v>14</v>
      </c>
      <c r="E7" s="129"/>
      <c r="F7" s="129"/>
      <c r="G7" s="235"/>
      <c r="H7" s="1"/>
      <c r="J7" s="1"/>
      <c r="K7" s="129"/>
      <c r="L7" s="3"/>
    </row>
    <row r="8" spans="1:14" ht="30" customHeight="1">
      <c r="A8" s="385" t="s">
        <v>15</v>
      </c>
      <c r="B8" s="386"/>
      <c r="C8" s="386"/>
      <c r="D8" s="386"/>
      <c r="E8" s="386"/>
      <c r="F8" s="386"/>
      <c r="G8" s="386"/>
      <c r="H8" s="386"/>
      <c r="I8" s="386"/>
      <c r="J8" s="386"/>
      <c r="K8" s="386"/>
      <c r="L8" s="386"/>
      <c r="M8" s="386"/>
    </row>
    <row r="9" spans="1:14" s="25" customFormat="1" ht="12" customHeight="1" thickBot="1">
      <c r="A9" s="26"/>
      <c r="B9" s="134"/>
      <c r="C9" s="27"/>
      <c r="D9" s="27"/>
      <c r="E9" s="27"/>
      <c r="F9" s="27"/>
      <c r="G9" s="27"/>
      <c r="H9" s="27"/>
      <c r="I9" s="27"/>
      <c r="J9" s="28"/>
      <c r="K9" s="27"/>
      <c r="L9" s="126"/>
      <c r="M9" s="29" t="s">
        <v>16</v>
      </c>
      <c r="N9" s="24"/>
    </row>
    <row r="10" spans="1:14" s="25" customFormat="1" ht="67.5" customHeight="1">
      <c r="A10" s="244" t="s">
        <v>17</v>
      </c>
      <c r="B10" s="243" t="s">
        <v>18</v>
      </c>
      <c r="C10" s="245" t="s">
        <v>19</v>
      </c>
      <c r="D10" s="245" t="s">
        <v>20</v>
      </c>
      <c r="E10" s="245" t="s">
        <v>21</v>
      </c>
      <c r="F10" s="245" t="s">
        <v>22</v>
      </c>
      <c r="G10" s="273" t="s">
        <v>23</v>
      </c>
      <c r="H10" s="241" t="s">
        <v>24</v>
      </c>
      <c r="I10" s="241" t="s">
        <v>577</v>
      </c>
      <c r="J10" s="241" t="s">
        <v>26</v>
      </c>
      <c r="K10" s="241" t="s">
        <v>27</v>
      </c>
      <c r="L10" s="241" t="s">
        <v>28</v>
      </c>
      <c r="M10" s="242" t="s">
        <v>29</v>
      </c>
      <c r="N10" s="24"/>
    </row>
    <row r="11" spans="1:14" s="25" customFormat="1" ht="17.25" customHeight="1" thickBot="1">
      <c r="A11" s="30">
        <v>0</v>
      </c>
      <c r="B11" s="31">
        <v>1</v>
      </c>
      <c r="C11" s="31">
        <v>2</v>
      </c>
      <c r="D11" s="31">
        <v>3</v>
      </c>
      <c r="E11" s="31">
        <v>4</v>
      </c>
      <c r="F11" s="31">
        <v>5</v>
      </c>
      <c r="G11" s="31">
        <v>6</v>
      </c>
      <c r="H11" s="31">
        <v>7</v>
      </c>
      <c r="I11" s="31">
        <v>8</v>
      </c>
      <c r="J11" s="210">
        <v>10</v>
      </c>
      <c r="K11" s="31">
        <v>11</v>
      </c>
      <c r="L11" s="31">
        <v>12</v>
      </c>
      <c r="M11" s="31">
        <v>13</v>
      </c>
      <c r="N11" s="24"/>
    </row>
    <row r="12" spans="1:14" s="25" customFormat="1" ht="18.75" customHeight="1">
      <c r="A12" s="26"/>
      <c r="B12" s="134"/>
      <c r="C12" s="26"/>
      <c r="D12" s="26"/>
      <c r="E12" s="26"/>
      <c r="F12" s="26"/>
      <c r="G12" s="263"/>
      <c r="H12" s="263"/>
      <c r="I12" s="263"/>
      <c r="J12" s="263"/>
      <c r="K12" s="263"/>
      <c r="L12" s="263"/>
      <c r="M12" s="263"/>
      <c r="N12" s="24"/>
    </row>
    <row r="13" spans="1:14" s="25" customFormat="1" ht="18.75" customHeight="1">
      <c r="A13" s="18"/>
      <c r="B13" s="32" t="s">
        <v>30</v>
      </c>
      <c r="C13" s="33">
        <f>C16+C19+C22</f>
        <v>1842151</v>
      </c>
      <c r="D13" s="33">
        <f t="shared" ref="D13:M13" si="0">D16+D19+D22</f>
        <v>2063921</v>
      </c>
      <c r="E13" s="33">
        <f t="shared" si="0"/>
        <v>439482</v>
      </c>
      <c r="F13" s="33">
        <f t="shared" si="0"/>
        <v>1624439</v>
      </c>
      <c r="G13" s="33">
        <f t="shared" si="0"/>
        <v>97752</v>
      </c>
      <c r="H13" s="33">
        <f t="shared" si="0"/>
        <v>0</v>
      </c>
      <c r="I13" s="33">
        <f t="shared" si="0"/>
        <v>97752</v>
      </c>
      <c r="J13" s="33">
        <f t="shared" si="0"/>
        <v>0</v>
      </c>
      <c r="K13" s="33">
        <f t="shared" si="0"/>
        <v>0</v>
      </c>
      <c r="L13" s="33">
        <f t="shared" si="0"/>
        <v>0</v>
      </c>
      <c r="M13" s="33">
        <f t="shared" si="0"/>
        <v>0</v>
      </c>
      <c r="N13" s="24"/>
    </row>
    <row r="14" spans="1:14" s="25" customFormat="1" ht="18.75" customHeight="1">
      <c r="A14" s="18"/>
      <c r="B14" s="32" t="s">
        <v>31</v>
      </c>
      <c r="C14" s="33">
        <f>C17+C20+C23</f>
        <v>808218</v>
      </c>
      <c r="D14" s="33">
        <f t="shared" ref="D14:M14" si="1">D17+D20+D23</f>
        <v>985406</v>
      </c>
      <c r="E14" s="33">
        <f t="shared" si="1"/>
        <v>357080</v>
      </c>
      <c r="F14" s="33">
        <f t="shared" si="1"/>
        <v>628326</v>
      </c>
      <c r="G14" s="33">
        <f t="shared" si="1"/>
        <v>71422.103876677531</v>
      </c>
      <c r="H14" s="33">
        <f t="shared" si="1"/>
        <v>0</v>
      </c>
      <c r="I14" s="33">
        <f t="shared" si="1"/>
        <v>71422.103876677531</v>
      </c>
      <c r="J14" s="33">
        <f t="shared" si="1"/>
        <v>0</v>
      </c>
      <c r="K14" s="33">
        <f t="shared" si="1"/>
        <v>0</v>
      </c>
      <c r="L14" s="33">
        <f t="shared" si="1"/>
        <v>0</v>
      </c>
      <c r="M14" s="33">
        <f t="shared" si="1"/>
        <v>0</v>
      </c>
      <c r="N14" s="24"/>
    </row>
    <row r="15" spans="1:14" s="25" customFormat="1" ht="18.75" customHeight="1">
      <c r="A15" s="12"/>
      <c r="B15" s="129"/>
      <c r="C15" s="14"/>
      <c r="D15" s="14"/>
      <c r="E15" s="14"/>
      <c r="F15" s="14"/>
      <c r="G15" s="14"/>
      <c r="H15" s="14"/>
      <c r="I15" s="14"/>
      <c r="J15" s="14"/>
      <c r="K15" s="14"/>
      <c r="L15" s="14"/>
      <c r="M15" s="14"/>
      <c r="N15" s="24"/>
    </row>
    <row r="16" spans="1:14" s="25" customFormat="1" ht="18.75" customHeight="1">
      <c r="A16" s="18" t="s">
        <v>32</v>
      </c>
      <c r="B16" s="34" t="s">
        <v>33</v>
      </c>
      <c r="C16" s="33">
        <f>C31+C52+C71+C113+C135+C159+C178+C203+C228+C251+C285+C325</f>
        <v>494899</v>
      </c>
      <c r="D16" s="33">
        <f t="shared" ref="D16:M16" si="2">D31+D52+D71+D113+D135+D159+D178+D203+D228+D251+D285+D325</f>
        <v>716669</v>
      </c>
      <c r="E16" s="33">
        <f t="shared" si="2"/>
        <v>439482</v>
      </c>
      <c r="F16" s="33">
        <f t="shared" si="2"/>
        <v>277187</v>
      </c>
      <c r="G16" s="33">
        <f t="shared" si="2"/>
        <v>83619</v>
      </c>
      <c r="H16" s="33">
        <f t="shared" si="2"/>
        <v>0</v>
      </c>
      <c r="I16" s="33">
        <f t="shared" si="2"/>
        <v>83619</v>
      </c>
      <c r="J16" s="33">
        <f t="shared" si="2"/>
        <v>0</v>
      </c>
      <c r="K16" s="33">
        <f t="shared" si="2"/>
        <v>0</v>
      </c>
      <c r="L16" s="33">
        <f t="shared" si="2"/>
        <v>0</v>
      </c>
      <c r="M16" s="33">
        <f t="shared" si="2"/>
        <v>0</v>
      </c>
      <c r="N16" s="24"/>
    </row>
    <row r="17" spans="1:14" s="25" customFormat="1" ht="18.75" customHeight="1">
      <c r="A17" s="18"/>
      <c r="B17" s="35" t="s">
        <v>34</v>
      </c>
      <c r="C17" s="33">
        <f>C32+C53+C72+C114+C136+C160+C179+C204+C286+C229+C252+C326</f>
        <v>345294</v>
      </c>
      <c r="D17" s="33">
        <f t="shared" ref="D17:M17" si="3">D32+D53+D72+D114+D136+D160+D179+D204+D286+D229+D252+D326</f>
        <v>522482</v>
      </c>
      <c r="E17" s="33">
        <f t="shared" si="3"/>
        <v>357080</v>
      </c>
      <c r="F17" s="33">
        <f t="shared" si="3"/>
        <v>165402</v>
      </c>
      <c r="G17" s="33">
        <f t="shared" si="3"/>
        <v>66936.239940759624</v>
      </c>
      <c r="H17" s="33">
        <f t="shared" si="3"/>
        <v>0</v>
      </c>
      <c r="I17" s="33">
        <f t="shared" si="3"/>
        <v>66936.239940759624</v>
      </c>
      <c r="J17" s="33">
        <f t="shared" si="3"/>
        <v>0</v>
      </c>
      <c r="K17" s="33">
        <f t="shared" si="3"/>
        <v>0</v>
      </c>
      <c r="L17" s="33">
        <f t="shared" si="3"/>
        <v>0</v>
      </c>
      <c r="M17" s="33">
        <f t="shared" si="3"/>
        <v>0</v>
      </c>
      <c r="N17" s="24"/>
    </row>
    <row r="18" spans="1:14" s="25" customFormat="1" ht="18.75" customHeight="1">
      <c r="A18" s="18"/>
      <c r="B18" s="135"/>
      <c r="C18" s="36"/>
      <c r="D18" s="36"/>
      <c r="E18" s="36"/>
      <c r="F18" s="36"/>
      <c r="G18" s="36"/>
      <c r="H18" s="36"/>
      <c r="I18" s="36"/>
      <c r="J18" s="36"/>
      <c r="K18" s="36"/>
      <c r="L18" s="36"/>
      <c r="M18" s="36"/>
      <c r="N18" s="24"/>
    </row>
    <row r="19" spans="1:14" s="25" customFormat="1" ht="18.75" customHeight="1">
      <c r="A19" s="18" t="s">
        <v>35</v>
      </c>
      <c r="B19" s="136" t="s">
        <v>33</v>
      </c>
      <c r="C19" s="33">
        <f>C34+C55+C90+C116+C141+C162+C185+C210+C300+C235+C263+C328</f>
        <v>1346917</v>
      </c>
      <c r="D19" s="33">
        <f t="shared" ref="D19:M19" si="4">D34+D55+D90+D116+D141+D162+D185+D210+D300+D235+D263+D328</f>
        <v>1346917</v>
      </c>
      <c r="E19" s="33">
        <f t="shared" si="4"/>
        <v>0</v>
      </c>
      <c r="F19" s="33">
        <f t="shared" si="4"/>
        <v>1346917</v>
      </c>
      <c r="G19" s="33">
        <f t="shared" si="4"/>
        <v>13798</v>
      </c>
      <c r="H19" s="33">
        <f t="shared" si="4"/>
        <v>0</v>
      </c>
      <c r="I19" s="33">
        <f t="shared" si="4"/>
        <v>13798</v>
      </c>
      <c r="J19" s="33">
        <f t="shared" si="4"/>
        <v>0</v>
      </c>
      <c r="K19" s="33">
        <f t="shared" si="4"/>
        <v>0</v>
      </c>
      <c r="L19" s="33">
        <f t="shared" si="4"/>
        <v>0</v>
      </c>
      <c r="M19" s="33">
        <f t="shared" si="4"/>
        <v>0</v>
      </c>
      <c r="N19" s="24"/>
    </row>
    <row r="20" spans="1:14" s="25" customFormat="1" ht="18.75" customHeight="1">
      <c r="A20" s="18"/>
      <c r="B20" s="35" t="s">
        <v>36</v>
      </c>
      <c r="C20" s="33">
        <f>C35+C56+C91+C117+C142+C163+C186+C211+C301+C236+C264+C329</f>
        <v>462924</v>
      </c>
      <c r="D20" s="33">
        <f t="shared" ref="D20:M20" si="5">D35+D56+D91+D117+D142+D163+D186+D211+D301+D236+D264+D329</f>
        <v>462924</v>
      </c>
      <c r="E20" s="33">
        <f t="shared" si="5"/>
        <v>0</v>
      </c>
      <c r="F20" s="33">
        <f t="shared" si="5"/>
        <v>462924</v>
      </c>
      <c r="G20" s="33">
        <f t="shared" si="5"/>
        <v>4485.8639359179033</v>
      </c>
      <c r="H20" s="33">
        <f t="shared" si="5"/>
        <v>0</v>
      </c>
      <c r="I20" s="33">
        <f t="shared" si="5"/>
        <v>4485.8639359179033</v>
      </c>
      <c r="J20" s="33">
        <f t="shared" si="5"/>
        <v>0</v>
      </c>
      <c r="K20" s="33">
        <f t="shared" si="5"/>
        <v>0</v>
      </c>
      <c r="L20" s="33">
        <f t="shared" si="5"/>
        <v>0</v>
      </c>
      <c r="M20" s="33">
        <f t="shared" si="5"/>
        <v>0</v>
      </c>
      <c r="N20" s="24"/>
    </row>
    <row r="21" spans="1:14" s="37" customFormat="1" ht="18.75" customHeight="1">
      <c r="A21" s="18"/>
      <c r="B21" s="135"/>
      <c r="C21" s="36"/>
      <c r="D21" s="36"/>
      <c r="E21" s="36"/>
      <c r="F21" s="36"/>
      <c r="G21" s="36"/>
      <c r="H21" s="36"/>
      <c r="I21" s="36"/>
      <c r="J21" s="36"/>
      <c r="K21" s="36"/>
      <c r="L21" s="36"/>
      <c r="M21" s="36"/>
      <c r="N21" s="24"/>
    </row>
    <row r="22" spans="1:14" s="39" customFormat="1" ht="18.75" customHeight="1">
      <c r="A22" s="18" t="s">
        <v>37</v>
      </c>
      <c r="B22" s="136" t="s">
        <v>38</v>
      </c>
      <c r="C22" s="33">
        <f t="shared" ref="C22:M22" si="6">C40+C58+C98+C123+C147+C167+C192+C216+C306+C241+C269+C331</f>
        <v>335</v>
      </c>
      <c r="D22" s="33">
        <f t="shared" si="6"/>
        <v>335</v>
      </c>
      <c r="E22" s="33">
        <f t="shared" si="6"/>
        <v>0</v>
      </c>
      <c r="F22" s="33">
        <f t="shared" si="6"/>
        <v>335</v>
      </c>
      <c r="G22" s="33">
        <f t="shared" si="6"/>
        <v>335</v>
      </c>
      <c r="H22" s="33">
        <f t="shared" si="6"/>
        <v>0</v>
      </c>
      <c r="I22" s="33">
        <f t="shared" si="6"/>
        <v>335</v>
      </c>
      <c r="J22" s="33">
        <f t="shared" si="6"/>
        <v>0</v>
      </c>
      <c r="K22" s="33">
        <f t="shared" si="6"/>
        <v>0</v>
      </c>
      <c r="L22" s="33">
        <f t="shared" si="6"/>
        <v>0</v>
      </c>
      <c r="M22" s="33">
        <f t="shared" si="6"/>
        <v>0</v>
      </c>
      <c r="N22" s="38"/>
    </row>
    <row r="23" spans="1:14" s="39" customFormat="1" ht="18.75" customHeight="1">
      <c r="A23" s="40"/>
      <c r="B23" s="35" t="s">
        <v>39</v>
      </c>
      <c r="C23" s="33">
        <f>0</f>
        <v>0</v>
      </c>
      <c r="D23" s="33">
        <f>0</f>
        <v>0</v>
      </c>
      <c r="E23" s="33">
        <f>0</f>
        <v>0</v>
      </c>
      <c r="F23" s="33">
        <f>0</f>
        <v>0</v>
      </c>
      <c r="G23" s="33">
        <f>0</f>
        <v>0</v>
      </c>
      <c r="H23" s="33">
        <f>0</f>
        <v>0</v>
      </c>
      <c r="I23" s="33">
        <f>0</f>
        <v>0</v>
      </c>
      <c r="J23" s="33">
        <f>0</f>
        <v>0</v>
      </c>
      <c r="K23" s="33">
        <f>0</f>
        <v>0</v>
      </c>
      <c r="L23" s="33">
        <f>0</f>
        <v>0</v>
      </c>
      <c r="M23" s="33">
        <f>0</f>
        <v>0</v>
      </c>
      <c r="N23" s="38"/>
    </row>
    <row r="24" spans="1:14" s="39" customFormat="1" ht="18.75" customHeight="1">
      <c r="A24" s="40"/>
      <c r="B24" s="32"/>
      <c r="C24" s="236"/>
      <c r="D24" s="236"/>
      <c r="E24" s="236"/>
      <c r="F24" s="236"/>
      <c r="G24" s="236"/>
      <c r="H24" s="236"/>
      <c r="I24" s="236"/>
      <c r="J24" s="236"/>
      <c r="K24" s="236"/>
      <c r="L24" s="236"/>
      <c r="M24" s="236"/>
      <c r="N24" s="38"/>
    </row>
    <row r="25" spans="1:14" s="39" customFormat="1" ht="18.75" customHeight="1">
      <c r="A25" s="40"/>
      <c r="B25" s="32"/>
      <c r="C25" s="236"/>
      <c r="D25" s="236"/>
      <c r="E25" s="236"/>
      <c r="F25" s="236"/>
      <c r="G25" s="236"/>
      <c r="H25" s="236"/>
      <c r="I25" s="236"/>
      <c r="J25" s="236"/>
      <c r="K25" s="236"/>
      <c r="L25" s="236"/>
      <c r="M25" s="236"/>
      <c r="N25" s="38"/>
    </row>
    <row r="26" spans="1:14" s="39" customFormat="1" ht="18.75" hidden="1" customHeight="1">
      <c r="A26" s="40"/>
      <c r="B26" s="32"/>
      <c r="C26" s="236"/>
      <c r="D26" s="236"/>
      <c r="E26" s="236"/>
      <c r="F26" s="236"/>
      <c r="G26" s="236"/>
      <c r="H26" s="236"/>
      <c r="I26" s="236"/>
      <c r="J26" s="236"/>
      <c r="K26" s="236"/>
      <c r="L26" s="236"/>
      <c r="M26" s="236"/>
      <c r="N26" s="38"/>
    </row>
    <row r="27" spans="1:14" s="41" customFormat="1" ht="30.75" hidden="1" customHeight="1">
      <c r="A27" s="12"/>
      <c r="B27" s="254" t="s">
        <v>40</v>
      </c>
      <c r="C27" s="13"/>
      <c r="D27" s="14"/>
      <c r="E27" s="14"/>
      <c r="F27" s="14"/>
      <c r="G27" s="269"/>
      <c r="H27" s="269"/>
      <c r="I27" s="269"/>
      <c r="J27" s="270"/>
      <c r="K27" s="269"/>
      <c r="L27" s="270"/>
      <c r="M27" s="46" t="s">
        <v>41</v>
      </c>
      <c r="N27" s="22"/>
    </row>
    <row r="28" spans="1:14" s="41" customFormat="1" ht="23.25" hidden="1" customHeight="1">
      <c r="A28" s="15"/>
      <c r="B28" s="16" t="s">
        <v>42</v>
      </c>
      <c r="C28" s="33">
        <f t="shared" ref="C28:M28" si="7">C31+C34+C40</f>
        <v>0</v>
      </c>
      <c r="D28" s="33">
        <f t="shared" si="7"/>
        <v>0</v>
      </c>
      <c r="E28" s="33">
        <f t="shared" si="7"/>
        <v>0</v>
      </c>
      <c r="F28" s="33">
        <f t="shared" si="7"/>
        <v>0</v>
      </c>
      <c r="G28" s="33">
        <f t="shared" si="7"/>
        <v>0</v>
      </c>
      <c r="H28" s="33">
        <f t="shared" si="7"/>
        <v>0</v>
      </c>
      <c r="I28" s="33">
        <f t="shared" si="7"/>
        <v>0</v>
      </c>
      <c r="J28" s="33">
        <f t="shared" si="7"/>
        <v>0</v>
      </c>
      <c r="K28" s="33">
        <f t="shared" si="7"/>
        <v>0</v>
      </c>
      <c r="L28" s="33">
        <f t="shared" si="7"/>
        <v>0</v>
      </c>
      <c r="M28" s="33">
        <f t="shared" si="7"/>
        <v>0</v>
      </c>
      <c r="N28" s="22"/>
    </row>
    <row r="29" spans="1:14" s="41" customFormat="1" ht="23.25" hidden="1" customHeight="1">
      <c r="A29" s="18"/>
      <c r="B29" s="16"/>
      <c r="C29" s="33">
        <f t="shared" ref="C29:M29" si="8">C32+C35+C41</f>
        <v>0</v>
      </c>
      <c r="D29" s="33">
        <f t="shared" si="8"/>
        <v>0</v>
      </c>
      <c r="E29" s="33">
        <f t="shared" si="8"/>
        <v>0</v>
      </c>
      <c r="F29" s="33">
        <f t="shared" si="8"/>
        <v>0</v>
      </c>
      <c r="G29" s="33">
        <f t="shared" si="8"/>
        <v>0</v>
      </c>
      <c r="H29" s="33">
        <f t="shared" si="8"/>
        <v>0</v>
      </c>
      <c r="I29" s="33">
        <f t="shared" si="8"/>
        <v>0</v>
      </c>
      <c r="J29" s="33">
        <f t="shared" si="8"/>
        <v>0</v>
      </c>
      <c r="K29" s="33">
        <f t="shared" si="8"/>
        <v>0</v>
      </c>
      <c r="L29" s="33">
        <f t="shared" si="8"/>
        <v>0</v>
      </c>
      <c r="M29" s="33">
        <f t="shared" si="8"/>
        <v>0</v>
      </c>
      <c r="N29" s="22"/>
    </row>
    <row r="30" spans="1:14" s="41" customFormat="1" ht="18" hidden="1" customHeight="1">
      <c r="A30" s="12"/>
      <c r="B30" s="129"/>
      <c r="C30" s="14"/>
      <c r="D30" s="14"/>
      <c r="E30" s="14"/>
      <c r="F30" s="14"/>
      <c r="G30" s="46"/>
      <c r="H30" s="46"/>
      <c r="I30" s="46"/>
      <c r="J30" s="46"/>
      <c r="K30" s="46"/>
      <c r="L30" s="46"/>
      <c r="M30" s="14"/>
      <c r="N30" s="22"/>
    </row>
    <row r="31" spans="1:14" s="41" customFormat="1" ht="19.5" hidden="1" customHeight="1">
      <c r="A31" s="18" t="s">
        <v>32</v>
      </c>
      <c r="B31" s="34" t="s">
        <v>33</v>
      </c>
      <c r="C31" s="42">
        <v>0</v>
      </c>
      <c r="D31" s="42">
        <v>0</v>
      </c>
      <c r="E31" s="42">
        <v>0</v>
      </c>
      <c r="F31" s="42">
        <f>D31-E31</f>
        <v>0</v>
      </c>
      <c r="G31" s="33">
        <f>SUM(H31:M31)</f>
        <v>0</v>
      </c>
      <c r="H31" s="42">
        <v>0</v>
      </c>
      <c r="I31" s="42">
        <v>0</v>
      </c>
      <c r="J31" s="42">
        <v>0</v>
      </c>
      <c r="K31" s="42">
        <v>0</v>
      </c>
      <c r="L31" s="42">
        <v>0</v>
      </c>
      <c r="M31" s="42">
        <v>0</v>
      </c>
      <c r="N31" s="22"/>
    </row>
    <row r="32" spans="1:14" s="41" customFormat="1" ht="19.5" hidden="1" customHeight="1">
      <c r="A32" s="18"/>
      <c r="B32" s="35" t="s">
        <v>34</v>
      </c>
      <c r="C32" s="42">
        <v>0</v>
      </c>
      <c r="D32" s="42">
        <v>0</v>
      </c>
      <c r="E32" s="42">
        <v>0</v>
      </c>
      <c r="F32" s="42">
        <f>D32-E32</f>
        <v>0</v>
      </c>
      <c r="G32" s="33">
        <f>SUM(H32:M32)</f>
        <v>0</v>
      </c>
      <c r="H32" s="42">
        <v>0</v>
      </c>
      <c r="I32" s="42">
        <v>0</v>
      </c>
      <c r="J32" s="42">
        <v>0</v>
      </c>
      <c r="K32" s="42">
        <v>0</v>
      </c>
      <c r="L32" s="42">
        <v>0</v>
      </c>
      <c r="M32" s="42">
        <v>0</v>
      </c>
      <c r="N32" s="22"/>
    </row>
    <row r="33" spans="1:14" s="41" customFormat="1" ht="18.75" hidden="1" customHeight="1">
      <c r="A33" s="18"/>
      <c r="B33" s="129"/>
      <c r="C33" s="14"/>
      <c r="D33" s="14"/>
      <c r="E33" s="14"/>
      <c r="F33" s="14"/>
      <c r="G33" s="236"/>
      <c r="H33" s="14"/>
      <c r="I33" s="14"/>
      <c r="J33" s="14"/>
      <c r="K33" s="14"/>
      <c r="L33" s="14"/>
      <c r="M33" s="14"/>
      <c r="N33" s="22"/>
    </row>
    <row r="34" spans="1:14" s="41" customFormat="1" ht="17.25" hidden="1" customHeight="1">
      <c r="A34" s="18" t="s">
        <v>35</v>
      </c>
      <c r="B34" s="34" t="s">
        <v>43</v>
      </c>
      <c r="C34" s="42">
        <f>C37</f>
        <v>0</v>
      </c>
      <c r="D34" s="42">
        <f t="shared" ref="D34:M34" si="9">D37</f>
        <v>0</v>
      </c>
      <c r="E34" s="42">
        <f t="shared" si="9"/>
        <v>0</v>
      </c>
      <c r="F34" s="42">
        <f t="shared" si="9"/>
        <v>0</v>
      </c>
      <c r="G34" s="42">
        <f t="shared" si="9"/>
        <v>0</v>
      </c>
      <c r="H34" s="42">
        <f t="shared" si="9"/>
        <v>0</v>
      </c>
      <c r="I34" s="42">
        <f t="shared" si="9"/>
        <v>0</v>
      </c>
      <c r="J34" s="42">
        <f t="shared" si="9"/>
        <v>0</v>
      </c>
      <c r="K34" s="42">
        <f t="shared" si="9"/>
        <v>0</v>
      </c>
      <c r="L34" s="42">
        <f t="shared" si="9"/>
        <v>0</v>
      </c>
      <c r="M34" s="42">
        <f t="shared" si="9"/>
        <v>0</v>
      </c>
      <c r="N34" s="22"/>
    </row>
    <row r="35" spans="1:14" s="41" customFormat="1" ht="17.25" hidden="1" customHeight="1">
      <c r="A35" s="18"/>
      <c r="B35" s="35" t="s">
        <v>36</v>
      </c>
      <c r="C35" s="42">
        <f>C38</f>
        <v>0</v>
      </c>
      <c r="D35" s="42">
        <f t="shared" ref="D35:M35" si="10">D38</f>
        <v>0</v>
      </c>
      <c r="E35" s="42">
        <f t="shared" si="10"/>
        <v>0</v>
      </c>
      <c r="F35" s="42">
        <f t="shared" si="10"/>
        <v>0</v>
      </c>
      <c r="G35" s="42">
        <f t="shared" si="10"/>
        <v>0</v>
      </c>
      <c r="H35" s="42">
        <f t="shared" si="10"/>
        <v>0</v>
      </c>
      <c r="I35" s="42">
        <f t="shared" si="10"/>
        <v>0</v>
      </c>
      <c r="J35" s="42">
        <f t="shared" si="10"/>
        <v>0</v>
      </c>
      <c r="K35" s="42">
        <f t="shared" si="10"/>
        <v>0</v>
      </c>
      <c r="L35" s="42">
        <f t="shared" si="10"/>
        <v>0</v>
      </c>
      <c r="M35" s="42">
        <f t="shared" si="10"/>
        <v>0</v>
      </c>
      <c r="N35" s="22"/>
    </row>
    <row r="36" spans="1:14" s="41" customFormat="1" ht="25.5" hidden="1" customHeight="1">
      <c r="A36" s="18"/>
      <c r="B36" s="32"/>
      <c r="C36" s="14"/>
      <c r="D36" s="14"/>
      <c r="E36" s="14"/>
      <c r="F36" s="14"/>
      <c r="G36" s="236"/>
      <c r="H36" s="14"/>
      <c r="I36" s="14"/>
      <c r="J36" s="14"/>
      <c r="K36" s="14"/>
      <c r="L36" s="14"/>
      <c r="M36" s="14"/>
      <c r="N36" s="22"/>
    </row>
    <row r="37" spans="1:14" s="41" customFormat="1" ht="32.25" hidden="1" customHeight="1">
      <c r="A37" s="50">
        <v>1</v>
      </c>
      <c r="B37" s="192"/>
      <c r="C37" s="356">
        <v>0</v>
      </c>
      <c r="D37" s="356">
        <v>0</v>
      </c>
      <c r="E37" s="356">
        <v>0</v>
      </c>
      <c r="F37" s="2">
        <f>D37-E37</f>
        <v>0</v>
      </c>
      <c r="G37" s="58">
        <f>SUM(H37:M37)</f>
        <v>0</v>
      </c>
      <c r="H37" s="51"/>
      <c r="I37" s="51"/>
      <c r="J37" s="51"/>
      <c r="K37" s="51"/>
      <c r="L37" s="51">
        <v>0</v>
      </c>
      <c r="M37" s="51"/>
      <c r="N37" s="22" t="s">
        <v>45</v>
      </c>
    </row>
    <row r="38" spans="1:14" s="41" customFormat="1" ht="25.5" hidden="1" customHeight="1">
      <c r="A38" s="50"/>
      <c r="B38" s="171"/>
      <c r="C38" s="51">
        <v>0</v>
      </c>
      <c r="D38" s="51">
        <v>0</v>
      </c>
      <c r="E38" s="51">
        <v>0</v>
      </c>
      <c r="F38" s="2">
        <f>D38-E38</f>
        <v>0</v>
      </c>
      <c r="G38" s="58">
        <f>SUM(H38:M38)</f>
        <v>0</v>
      </c>
      <c r="H38" s="51"/>
      <c r="I38" s="51"/>
      <c r="J38" s="51"/>
      <c r="K38" s="51"/>
      <c r="L38" s="51">
        <v>0</v>
      </c>
      <c r="M38" s="51"/>
      <c r="N38" s="22"/>
    </row>
    <row r="39" spans="1:14" s="41" customFormat="1" ht="16.5" hidden="1" customHeight="1">
      <c r="A39" s="18"/>
      <c r="B39" s="32"/>
      <c r="C39" s="14"/>
      <c r="D39" s="14"/>
      <c r="E39" s="14"/>
      <c r="F39" s="14"/>
      <c r="G39" s="236"/>
      <c r="H39" s="14"/>
      <c r="I39" s="14"/>
      <c r="J39" s="14"/>
      <c r="K39" s="14"/>
      <c r="L39" s="14"/>
      <c r="M39" s="14"/>
      <c r="N39" s="22"/>
    </row>
    <row r="40" spans="1:14" s="41" customFormat="1" ht="25.5" hidden="1" customHeight="1">
      <c r="A40" s="18" t="s">
        <v>37</v>
      </c>
      <c r="B40" s="34" t="s">
        <v>60</v>
      </c>
      <c r="C40" s="42">
        <f>C43+C44+C45</f>
        <v>0</v>
      </c>
      <c r="D40" s="42">
        <f t="shared" ref="D40:M40" si="11">D43+D44+D45</f>
        <v>0</v>
      </c>
      <c r="E40" s="42">
        <f t="shared" si="11"/>
        <v>0</v>
      </c>
      <c r="F40" s="42">
        <f t="shared" si="11"/>
        <v>0</v>
      </c>
      <c r="G40" s="33">
        <f t="shared" si="11"/>
        <v>0</v>
      </c>
      <c r="H40" s="42">
        <f t="shared" si="11"/>
        <v>0</v>
      </c>
      <c r="I40" s="42">
        <f t="shared" si="11"/>
        <v>0</v>
      </c>
      <c r="J40" s="42">
        <f t="shared" si="11"/>
        <v>0</v>
      </c>
      <c r="K40" s="42">
        <f t="shared" si="11"/>
        <v>0</v>
      </c>
      <c r="L40" s="42">
        <f t="shared" si="11"/>
        <v>0</v>
      </c>
      <c r="M40" s="42">
        <f t="shared" si="11"/>
        <v>0</v>
      </c>
      <c r="N40" s="22"/>
    </row>
    <row r="41" spans="1:14" s="41" customFormat="1" ht="25.5" hidden="1" customHeight="1">
      <c r="A41" s="18"/>
      <c r="B41" s="35" t="s">
        <v>61</v>
      </c>
      <c r="C41" s="14"/>
      <c r="D41" s="14"/>
      <c r="E41" s="14"/>
      <c r="F41" s="14"/>
      <c r="G41" s="14"/>
      <c r="H41" s="14"/>
      <c r="I41" s="14"/>
      <c r="J41" s="14"/>
      <c r="K41" s="14"/>
      <c r="L41" s="14"/>
      <c r="M41" s="14"/>
      <c r="N41" s="22"/>
    </row>
    <row r="42" spans="1:14" s="41" customFormat="1" ht="25.5" hidden="1" customHeight="1">
      <c r="A42" s="12"/>
      <c r="B42" s="16" t="s">
        <v>42</v>
      </c>
      <c r="C42" s="14"/>
      <c r="D42" s="5"/>
      <c r="E42" s="5"/>
      <c r="F42" s="5"/>
      <c r="G42" s="5"/>
      <c r="H42" s="5"/>
      <c r="I42" s="5"/>
      <c r="J42" s="5"/>
      <c r="K42" s="5"/>
      <c r="L42" s="14"/>
      <c r="M42" s="14"/>
      <c r="N42" s="22"/>
    </row>
    <row r="43" spans="1:14" s="41" customFormat="1" ht="25.5" hidden="1" customHeight="1">
      <c r="A43" s="43"/>
      <c r="B43" s="23" t="s">
        <v>62</v>
      </c>
      <c r="C43" s="279">
        <f>'A3BIS - STUDII SI PROIECTE 2024'!D12</f>
        <v>0</v>
      </c>
      <c r="D43" s="279">
        <f>'A3BIS - STUDII SI PROIECTE 2024'!E12</f>
        <v>0</v>
      </c>
      <c r="E43" s="279">
        <f>'A3BIS - STUDII SI PROIECTE 2024'!F12</f>
        <v>0</v>
      </c>
      <c r="F43" s="279">
        <f>'A3BIS - STUDII SI PROIECTE 2024'!G12</f>
        <v>0</v>
      </c>
      <c r="G43" s="279">
        <f>'A3BIS - STUDII SI PROIECTE 2024'!H12</f>
        <v>0</v>
      </c>
      <c r="H43" s="279">
        <f>'A3BIS - STUDII SI PROIECTE 2024'!I12</f>
        <v>0</v>
      </c>
      <c r="I43" s="279">
        <f>'A3BIS - STUDII SI PROIECTE 2024'!J12</f>
        <v>0</v>
      </c>
      <c r="J43" s="279">
        <f>'A3BIS - STUDII SI PROIECTE 2024'!K12</f>
        <v>0</v>
      </c>
      <c r="K43" s="279">
        <f>'A3BIS - STUDII SI PROIECTE 2024'!L12</f>
        <v>0</v>
      </c>
      <c r="L43" s="279">
        <f>'A3BIS - STUDII SI PROIECTE 2024'!M12</f>
        <v>0</v>
      </c>
      <c r="M43" s="279">
        <f>'A3BIS - STUDII SI PROIECTE 2024'!N12</f>
        <v>0</v>
      </c>
      <c r="N43" s="22"/>
    </row>
    <row r="44" spans="1:14" s="41" customFormat="1" ht="25.5" hidden="1" customHeight="1">
      <c r="A44" s="44"/>
      <c r="B44" s="137" t="s">
        <v>63</v>
      </c>
      <c r="C44" s="45">
        <f>'A3 BIS - DOTARI 2024'!D15</f>
        <v>0</v>
      </c>
      <c r="D44" s="45">
        <f>'A3 BIS - DOTARI 2024'!E15</f>
        <v>0</v>
      </c>
      <c r="E44" s="45">
        <f>'A3 BIS - DOTARI 2024'!F15</f>
        <v>0</v>
      </c>
      <c r="F44" s="45">
        <f>'A3 BIS - DOTARI 2024'!G15</f>
        <v>0</v>
      </c>
      <c r="G44" s="45">
        <f>'A3 BIS - DOTARI 2024'!H15</f>
        <v>0</v>
      </c>
      <c r="H44" s="45">
        <f>'A3 BIS - DOTARI 2024'!I15</f>
        <v>0</v>
      </c>
      <c r="I44" s="45">
        <f>'A3 BIS - DOTARI 2024'!J15</f>
        <v>0</v>
      </c>
      <c r="J44" s="45">
        <f>'A3 BIS - DOTARI 2024'!K15</f>
        <v>0</v>
      </c>
      <c r="K44" s="45">
        <f>'A3 BIS - DOTARI 2024'!L15</f>
        <v>0</v>
      </c>
      <c r="L44" s="45">
        <f>'A3 BIS - DOTARI 2024'!M15</f>
        <v>0</v>
      </c>
      <c r="M44" s="45">
        <f>'A3 BIS - DOTARI 2024'!N15</f>
        <v>0</v>
      </c>
      <c r="N44" s="22"/>
    </row>
    <row r="45" spans="1:14" s="41" customFormat="1" ht="25.5" hidden="1" customHeight="1">
      <c r="A45" s="44"/>
      <c r="B45" s="137" t="s">
        <v>64</v>
      </c>
      <c r="C45" s="45">
        <f>'A3 - ALTE CHELTUIELI 2024'!D12</f>
        <v>0</v>
      </c>
      <c r="D45" s="45">
        <f>'A3 - ALTE CHELTUIELI 2024'!E12</f>
        <v>0</v>
      </c>
      <c r="E45" s="45">
        <f>'A3 - ALTE CHELTUIELI 2024'!F12</f>
        <v>0</v>
      </c>
      <c r="F45" s="45">
        <f>'A3 - ALTE CHELTUIELI 2024'!G12</f>
        <v>0</v>
      </c>
      <c r="G45" s="237">
        <f>'A3 - ALTE CHELTUIELI 2024'!H12</f>
        <v>0</v>
      </c>
      <c r="H45" s="45">
        <f>'A3 - ALTE CHELTUIELI 2024'!I12</f>
        <v>0</v>
      </c>
      <c r="I45" s="45">
        <f>'A3 - ALTE CHELTUIELI 2024'!J12</f>
        <v>0</v>
      </c>
      <c r="J45" s="45">
        <f>'A3 - ALTE CHELTUIELI 2024'!K12</f>
        <v>0</v>
      </c>
      <c r="K45" s="45">
        <f>'A3 - ALTE CHELTUIELI 2024'!L12</f>
        <v>0</v>
      </c>
      <c r="L45" s="45">
        <f>'A3 - ALTE CHELTUIELI 2024'!M12</f>
        <v>0</v>
      </c>
      <c r="M45" s="45">
        <f>'A3 - ALTE CHELTUIELI 2024'!N12</f>
        <v>0</v>
      </c>
      <c r="N45" s="22"/>
    </row>
    <row r="46" spans="1:14" s="41" customFormat="1" ht="25.5" hidden="1" customHeight="1">
      <c r="A46" s="44"/>
      <c r="B46" s="137"/>
      <c r="C46" s="45"/>
      <c r="D46" s="45"/>
      <c r="E46" s="45"/>
      <c r="F46" s="45"/>
      <c r="G46" s="237"/>
      <c r="H46" s="45"/>
      <c r="I46" s="45"/>
      <c r="J46" s="45"/>
      <c r="K46" s="45"/>
      <c r="L46" s="45"/>
      <c r="M46" s="45"/>
      <c r="N46" s="22"/>
    </row>
    <row r="47" spans="1:14" s="41" customFormat="1" ht="25.5" hidden="1" customHeight="1">
      <c r="A47" s="44"/>
      <c r="B47" s="137"/>
      <c r="C47" s="45"/>
      <c r="D47" s="45"/>
      <c r="E47" s="45"/>
      <c r="F47" s="45"/>
      <c r="G47" s="237"/>
      <c r="H47" s="45"/>
      <c r="I47" s="45"/>
      <c r="J47" s="45"/>
      <c r="K47" s="45"/>
      <c r="L47" s="45"/>
      <c r="M47" s="45"/>
      <c r="N47" s="22"/>
    </row>
    <row r="48" spans="1:14" s="7" customFormat="1" ht="30" hidden="1" customHeight="1">
      <c r="A48" s="12"/>
      <c r="B48" s="253" t="s">
        <v>65</v>
      </c>
      <c r="C48" s="13"/>
      <c r="D48" s="14"/>
      <c r="E48" s="14"/>
      <c r="F48" s="14"/>
      <c r="G48" s="46"/>
      <c r="H48" s="46"/>
      <c r="I48" s="46"/>
      <c r="J48" s="46"/>
      <c r="K48" s="46"/>
      <c r="L48" s="46"/>
      <c r="M48" s="46" t="s">
        <v>41</v>
      </c>
      <c r="N48" s="22"/>
    </row>
    <row r="49" spans="1:14" s="7" customFormat="1" ht="22.5" hidden="1" customHeight="1">
      <c r="A49" s="15"/>
      <c r="B49" s="16" t="s">
        <v>42</v>
      </c>
      <c r="C49" s="17">
        <f>C52+C55+C58</f>
        <v>0</v>
      </c>
      <c r="D49" s="17">
        <f t="shared" ref="D49:M50" si="12">D52+D55+D58</f>
        <v>0</v>
      </c>
      <c r="E49" s="17">
        <f t="shared" si="12"/>
        <v>0</v>
      </c>
      <c r="F49" s="17">
        <f t="shared" si="12"/>
        <v>0</v>
      </c>
      <c r="G49" s="17">
        <f t="shared" si="12"/>
        <v>0</v>
      </c>
      <c r="H49" s="17">
        <f t="shared" si="12"/>
        <v>0</v>
      </c>
      <c r="I49" s="17">
        <f t="shared" si="12"/>
        <v>0</v>
      </c>
      <c r="J49" s="17">
        <f t="shared" si="12"/>
        <v>0</v>
      </c>
      <c r="K49" s="17">
        <f t="shared" si="12"/>
        <v>0</v>
      </c>
      <c r="L49" s="17">
        <f t="shared" si="12"/>
        <v>0</v>
      </c>
      <c r="M49" s="17">
        <f t="shared" si="12"/>
        <v>0</v>
      </c>
      <c r="N49" s="22"/>
    </row>
    <row r="50" spans="1:14" s="7" customFormat="1" ht="22.5" hidden="1" customHeight="1">
      <c r="A50" s="18"/>
      <c r="B50" s="16"/>
      <c r="C50" s="17">
        <f>C53+C56+C59</f>
        <v>0</v>
      </c>
      <c r="D50" s="17">
        <f t="shared" si="12"/>
        <v>0</v>
      </c>
      <c r="E50" s="17">
        <f t="shared" si="12"/>
        <v>0</v>
      </c>
      <c r="F50" s="17">
        <f t="shared" si="12"/>
        <v>0</v>
      </c>
      <c r="G50" s="17">
        <f t="shared" si="12"/>
        <v>0</v>
      </c>
      <c r="H50" s="17">
        <f t="shared" si="12"/>
        <v>0</v>
      </c>
      <c r="I50" s="17">
        <f t="shared" si="12"/>
        <v>0</v>
      </c>
      <c r="J50" s="17">
        <f t="shared" si="12"/>
        <v>0</v>
      </c>
      <c r="K50" s="17">
        <f t="shared" si="12"/>
        <v>0</v>
      </c>
      <c r="L50" s="17">
        <f t="shared" si="12"/>
        <v>0</v>
      </c>
      <c r="M50" s="17">
        <f t="shared" si="12"/>
        <v>0</v>
      </c>
      <c r="N50" s="22"/>
    </row>
    <row r="51" spans="1:14" s="7" customFormat="1" ht="22.5" hidden="1" customHeight="1">
      <c r="A51" s="18"/>
      <c r="B51" s="16"/>
      <c r="C51" s="46"/>
      <c r="D51" s="46"/>
      <c r="E51" s="46"/>
      <c r="F51" s="46"/>
      <c r="G51" s="46"/>
      <c r="H51" s="46"/>
      <c r="I51" s="46"/>
      <c r="J51" s="46"/>
      <c r="K51" s="46"/>
      <c r="L51" s="46"/>
      <c r="M51" s="46"/>
      <c r="N51" s="22"/>
    </row>
    <row r="52" spans="1:14" s="7" customFormat="1" ht="22.5" hidden="1" customHeight="1">
      <c r="A52" s="18" t="s">
        <v>32</v>
      </c>
      <c r="B52" s="34" t="s">
        <v>33</v>
      </c>
      <c r="C52" s="2">
        <v>0</v>
      </c>
      <c r="D52" s="2">
        <v>0</v>
      </c>
      <c r="E52" s="2">
        <v>0</v>
      </c>
      <c r="F52" s="2">
        <f>D52-E52</f>
        <v>0</v>
      </c>
      <c r="G52" s="17">
        <f>SUM(H52:M52)</f>
        <v>0</v>
      </c>
      <c r="H52" s="2">
        <v>0</v>
      </c>
      <c r="I52" s="2">
        <v>0</v>
      </c>
      <c r="J52" s="2">
        <v>0</v>
      </c>
      <c r="K52" s="2">
        <v>0</v>
      </c>
      <c r="L52" s="2">
        <v>0</v>
      </c>
      <c r="M52" s="2">
        <v>0</v>
      </c>
      <c r="N52" s="22"/>
    </row>
    <row r="53" spans="1:14" s="7" customFormat="1" ht="22.5" hidden="1" customHeight="1">
      <c r="A53" s="18"/>
      <c r="B53" s="35" t="s">
        <v>34</v>
      </c>
      <c r="C53" s="2">
        <v>0</v>
      </c>
      <c r="D53" s="2">
        <v>0</v>
      </c>
      <c r="E53" s="2">
        <v>0</v>
      </c>
      <c r="F53" s="2">
        <f>D53-E53</f>
        <v>0</v>
      </c>
      <c r="G53" s="17">
        <f>SUM(H53:M53)</f>
        <v>0</v>
      </c>
      <c r="H53" s="2">
        <v>0</v>
      </c>
      <c r="I53" s="2">
        <v>0</v>
      </c>
      <c r="J53" s="2">
        <v>0</v>
      </c>
      <c r="K53" s="2">
        <v>0</v>
      </c>
      <c r="L53" s="2">
        <v>0</v>
      </c>
      <c r="M53" s="2">
        <v>0</v>
      </c>
      <c r="N53" s="22"/>
    </row>
    <row r="54" spans="1:14" s="7" customFormat="1" ht="22.5" hidden="1" customHeight="1">
      <c r="A54" s="44"/>
      <c r="B54" s="137"/>
      <c r="C54" s="47"/>
      <c r="D54" s="47"/>
      <c r="E54" s="47"/>
      <c r="F54" s="47"/>
      <c r="G54" s="47"/>
      <c r="H54" s="47"/>
      <c r="I54" s="47"/>
      <c r="J54" s="47"/>
      <c r="K54" s="47"/>
      <c r="L54" s="47"/>
      <c r="M54" s="47"/>
      <c r="N54" s="22"/>
    </row>
    <row r="55" spans="1:14" s="7" customFormat="1" ht="22.5" hidden="1" customHeight="1">
      <c r="A55" s="18" t="s">
        <v>35</v>
      </c>
      <c r="B55" s="34" t="s">
        <v>43</v>
      </c>
      <c r="C55" s="2">
        <v>0</v>
      </c>
      <c r="D55" s="2">
        <v>0</v>
      </c>
      <c r="E55" s="2">
        <v>0</v>
      </c>
      <c r="F55" s="2">
        <f>D55-E55</f>
        <v>0</v>
      </c>
      <c r="G55" s="17">
        <f>SUM(H55:M55)</f>
        <v>0</v>
      </c>
      <c r="H55" s="2">
        <v>0</v>
      </c>
      <c r="I55" s="2">
        <v>0</v>
      </c>
      <c r="J55" s="2">
        <v>0</v>
      </c>
      <c r="K55" s="2">
        <v>0</v>
      </c>
      <c r="L55" s="2">
        <v>0</v>
      </c>
      <c r="M55" s="2">
        <v>0</v>
      </c>
      <c r="N55" s="22"/>
    </row>
    <row r="56" spans="1:14" s="7" customFormat="1" ht="22.5" hidden="1" customHeight="1">
      <c r="A56" s="18"/>
      <c r="B56" s="35" t="s">
        <v>36</v>
      </c>
      <c r="C56" s="2">
        <v>0</v>
      </c>
      <c r="D56" s="2">
        <v>0</v>
      </c>
      <c r="E56" s="2">
        <v>0</v>
      </c>
      <c r="F56" s="2">
        <f>D56-E56</f>
        <v>0</v>
      </c>
      <c r="G56" s="17">
        <f>SUM(H56:M56)</f>
        <v>0</v>
      </c>
      <c r="H56" s="2">
        <v>0</v>
      </c>
      <c r="I56" s="2">
        <v>0</v>
      </c>
      <c r="J56" s="2">
        <v>0</v>
      </c>
      <c r="K56" s="2">
        <v>0</v>
      </c>
      <c r="L56" s="2">
        <v>0</v>
      </c>
      <c r="M56" s="2">
        <v>0</v>
      </c>
      <c r="N56" s="22"/>
    </row>
    <row r="57" spans="1:14" s="7" customFormat="1" ht="22.5" hidden="1" customHeight="1">
      <c r="A57" s="18"/>
      <c r="B57" s="32"/>
      <c r="C57" s="1"/>
      <c r="D57" s="1"/>
      <c r="E57" s="1"/>
      <c r="F57" s="1"/>
      <c r="G57" s="1"/>
      <c r="H57" s="1"/>
      <c r="I57" s="1"/>
      <c r="J57" s="1"/>
      <c r="K57" s="1"/>
      <c r="L57" s="1"/>
      <c r="M57" s="1"/>
      <c r="N57" s="22"/>
    </row>
    <row r="58" spans="1:14" s="7" customFormat="1" ht="22.5" hidden="1" customHeight="1">
      <c r="A58" s="18" t="s">
        <v>37</v>
      </c>
      <c r="B58" s="34" t="s">
        <v>60</v>
      </c>
      <c r="C58" s="2">
        <f>C62+C63+C61</f>
        <v>0</v>
      </c>
      <c r="D58" s="2">
        <f t="shared" ref="D58:M58" si="13">D62+D63+D61</f>
        <v>0</v>
      </c>
      <c r="E58" s="2">
        <f t="shared" si="13"/>
        <v>0</v>
      </c>
      <c r="F58" s="2">
        <f t="shared" si="13"/>
        <v>0</v>
      </c>
      <c r="G58" s="17">
        <f t="shared" si="13"/>
        <v>0</v>
      </c>
      <c r="H58" s="2">
        <f t="shared" si="13"/>
        <v>0</v>
      </c>
      <c r="I58" s="2">
        <f t="shared" si="13"/>
        <v>0</v>
      </c>
      <c r="J58" s="2">
        <f t="shared" si="13"/>
        <v>0</v>
      </c>
      <c r="K58" s="2">
        <f t="shared" si="13"/>
        <v>0</v>
      </c>
      <c r="L58" s="2">
        <f t="shared" si="13"/>
        <v>0</v>
      </c>
      <c r="M58" s="2">
        <f t="shared" si="13"/>
        <v>0</v>
      </c>
      <c r="N58" s="22"/>
    </row>
    <row r="59" spans="1:14" s="7" customFormat="1" ht="22.5" hidden="1" customHeight="1">
      <c r="A59" s="18"/>
      <c r="B59" s="35" t="s">
        <v>61</v>
      </c>
      <c r="C59" s="1"/>
      <c r="D59" s="1"/>
      <c r="E59" s="1"/>
      <c r="F59" s="1"/>
      <c r="G59" s="1"/>
      <c r="H59" s="1"/>
      <c r="I59" s="1"/>
      <c r="J59" s="1"/>
      <c r="K59" s="1"/>
      <c r="L59" s="1"/>
      <c r="M59" s="1"/>
      <c r="N59" s="22"/>
    </row>
    <row r="60" spans="1:14" s="7" customFormat="1" ht="22.5" hidden="1" customHeight="1">
      <c r="A60" s="12"/>
      <c r="B60" s="16" t="s">
        <v>42</v>
      </c>
      <c r="C60" s="1"/>
      <c r="D60" s="1"/>
      <c r="E60" s="1"/>
      <c r="F60" s="1"/>
      <c r="G60" s="1"/>
      <c r="H60" s="1"/>
      <c r="I60" s="1"/>
      <c r="J60" s="1"/>
      <c r="K60" s="1"/>
      <c r="L60" s="1"/>
      <c r="M60" s="1"/>
      <c r="N60" s="22"/>
    </row>
    <row r="61" spans="1:14" s="7" customFormat="1" ht="22.5" hidden="1" customHeight="1">
      <c r="A61" s="12"/>
      <c r="B61" s="23" t="s">
        <v>62</v>
      </c>
      <c r="C61" s="14">
        <f>'A3 - STUDII SI PROIECTE 2024'!D50</f>
        <v>0</v>
      </c>
      <c r="D61" s="14">
        <f>'A3 - STUDII SI PROIECTE 2024'!E50</f>
        <v>0</v>
      </c>
      <c r="E61" s="14">
        <f>'A3 - STUDII SI PROIECTE 2024'!F50</f>
        <v>0</v>
      </c>
      <c r="F61" s="14">
        <f>'A3 - STUDII SI PROIECTE 2024'!G50</f>
        <v>0</v>
      </c>
      <c r="G61" s="236">
        <f>'A3 - STUDII SI PROIECTE 2024'!H50</f>
        <v>0</v>
      </c>
      <c r="H61" s="14">
        <f>'A3 - STUDII SI PROIECTE 2024'!I50</f>
        <v>0</v>
      </c>
      <c r="I61" s="14">
        <f>'A3 - STUDII SI PROIECTE 2024'!J50</f>
        <v>0</v>
      </c>
      <c r="J61" s="14">
        <f>'A3 - STUDII SI PROIECTE 2024'!K50</f>
        <v>0</v>
      </c>
      <c r="K61" s="14">
        <f>'A3 - STUDII SI PROIECTE 2024'!L50</f>
        <v>0</v>
      </c>
      <c r="L61" s="14">
        <f>'A3 - STUDII SI PROIECTE 2024'!M50</f>
        <v>0</v>
      </c>
      <c r="M61" s="14">
        <f>'A3 - STUDII SI PROIECTE 2024'!N50</f>
        <v>0</v>
      </c>
      <c r="N61" s="22"/>
    </row>
    <row r="62" spans="1:14" s="7" customFormat="1" ht="22.5" hidden="1" customHeight="1">
      <c r="A62" s="44"/>
      <c r="B62" s="137" t="s">
        <v>66</v>
      </c>
      <c r="C62" s="48">
        <f>'A3 BIS - DOTARI 2024'!D20</f>
        <v>0</v>
      </c>
      <c r="D62" s="48">
        <f>'A3 BIS - DOTARI 2024'!E20</f>
        <v>0</v>
      </c>
      <c r="E62" s="48">
        <f>'A3 BIS - DOTARI 2024'!F20</f>
        <v>0</v>
      </c>
      <c r="F62" s="48">
        <f>'A3 BIS - DOTARI 2024'!G20</f>
        <v>0</v>
      </c>
      <c r="G62" s="48">
        <f>'A3 BIS - DOTARI 2024'!H20</f>
        <v>0</v>
      </c>
      <c r="H62" s="48">
        <f>'A3 BIS - DOTARI 2024'!I20</f>
        <v>0</v>
      </c>
      <c r="I62" s="48">
        <f>'A3 BIS - DOTARI 2024'!J20</f>
        <v>0</v>
      </c>
      <c r="J62" s="48">
        <f>'A3 BIS - DOTARI 2024'!K20</f>
        <v>0</v>
      </c>
      <c r="K62" s="48">
        <f>'A3 BIS - DOTARI 2024'!L20</f>
        <v>0</v>
      </c>
      <c r="L62" s="48">
        <f>'A3 BIS - DOTARI 2024'!M20</f>
        <v>0</v>
      </c>
      <c r="M62" s="48">
        <f>'A3 BIS - DOTARI 2024'!N20</f>
        <v>0</v>
      </c>
      <c r="N62" s="22"/>
    </row>
    <row r="63" spans="1:14" s="7" customFormat="1" ht="22.5" hidden="1" customHeight="1">
      <c r="A63" s="44"/>
      <c r="B63" s="137" t="s">
        <v>67</v>
      </c>
      <c r="C63" s="48">
        <f>'A3 - ALTE CHELTUIELI 2024'!D18</f>
        <v>0</v>
      </c>
      <c r="D63" s="48">
        <f>'A3 - ALTE CHELTUIELI 2024'!E18</f>
        <v>0</v>
      </c>
      <c r="E63" s="48">
        <f>'A3 - ALTE CHELTUIELI 2024'!F18</f>
        <v>0</v>
      </c>
      <c r="F63" s="48">
        <f>'A3 - ALTE CHELTUIELI 2024'!G18</f>
        <v>0</v>
      </c>
      <c r="G63" s="238">
        <f>'A3 - ALTE CHELTUIELI 2024'!H18</f>
        <v>0</v>
      </c>
      <c r="H63" s="48">
        <f>'A3 - ALTE CHELTUIELI 2024'!I18</f>
        <v>0</v>
      </c>
      <c r="I63" s="48">
        <f>'A3 - ALTE CHELTUIELI 2024'!J18</f>
        <v>0</v>
      </c>
      <c r="J63" s="48">
        <f>'A3 - ALTE CHELTUIELI 2024'!K18</f>
        <v>0</v>
      </c>
      <c r="K63" s="48">
        <f>'A3 - ALTE CHELTUIELI 2024'!L18</f>
        <v>0</v>
      </c>
      <c r="L63" s="48">
        <f>'A3 - ALTE CHELTUIELI 2024'!M18</f>
        <v>0</v>
      </c>
      <c r="M63" s="48">
        <f>'A3 - ALTE CHELTUIELI 2024'!N18</f>
        <v>0</v>
      </c>
      <c r="N63" s="22"/>
    </row>
    <row r="64" spans="1:14" s="7" customFormat="1" ht="22.5" hidden="1" customHeight="1">
      <c r="A64" s="44"/>
      <c r="B64" s="137"/>
      <c r="C64" s="48"/>
      <c r="D64" s="48"/>
      <c r="E64" s="48"/>
      <c r="F64" s="48"/>
      <c r="G64" s="238"/>
      <c r="H64" s="48"/>
      <c r="I64" s="48"/>
      <c r="J64" s="48"/>
      <c r="K64" s="48"/>
      <c r="L64" s="48"/>
      <c r="M64" s="48"/>
      <c r="N64" s="22"/>
    </row>
    <row r="65" spans="1:14" s="7" customFormat="1" ht="25.5" hidden="1" customHeight="1">
      <c r="A65" s="44"/>
      <c r="B65" s="137"/>
      <c r="C65" s="48"/>
      <c r="D65" s="48"/>
      <c r="E65" s="48"/>
      <c r="F65" s="48"/>
      <c r="G65" s="48"/>
      <c r="H65" s="48"/>
      <c r="I65" s="48"/>
      <c r="J65" s="48"/>
      <c r="K65" s="48"/>
      <c r="L65" s="48"/>
      <c r="M65" s="48"/>
      <c r="N65" s="22"/>
    </row>
    <row r="66" spans="1:14" s="7" customFormat="1" ht="18" customHeight="1">
      <c r="A66" s="44"/>
      <c r="B66" s="137"/>
      <c r="C66" s="48"/>
      <c r="D66" s="48"/>
      <c r="E66" s="48"/>
      <c r="F66" s="48"/>
      <c r="G66" s="48"/>
      <c r="H66" s="48"/>
      <c r="I66" s="48"/>
      <c r="J66" s="48"/>
      <c r="K66" s="48"/>
      <c r="L66" s="48"/>
      <c r="M66" s="48"/>
      <c r="N66" s="22"/>
    </row>
    <row r="67" spans="1:14" s="7" customFormat="1" ht="27.75" customHeight="1">
      <c r="A67" s="277"/>
      <c r="B67" s="138" t="s">
        <v>68</v>
      </c>
      <c r="C67" s="9" t="s">
        <v>69</v>
      </c>
      <c r="D67" s="9"/>
      <c r="E67" s="9"/>
      <c r="F67" s="9"/>
      <c r="G67" s="9"/>
      <c r="H67" s="9"/>
      <c r="I67" s="9"/>
      <c r="J67" s="9"/>
      <c r="K67" s="9"/>
      <c r="L67" s="104"/>
      <c r="M67" s="9" t="s">
        <v>41</v>
      </c>
      <c r="N67" s="22"/>
    </row>
    <row r="68" spans="1:14" s="7" customFormat="1" ht="25.5" customHeight="1">
      <c r="A68" s="50"/>
      <c r="B68" s="16" t="s">
        <v>42</v>
      </c>
      <c r="C68" s="58">
        <f t="shared" ref="C68:M68" si="14">C71+C90+C98</f>
        <v>45072</v>
      </c>
      <c r="D68" s="58">
        <f t="shared" si="14"/>
        <v>66019</v>
      </c>
      <c r="E68" s="58">
        <f t="shared" si="14"/>
        <v>36492</v>
      </c>
      <c r="F68" s="58">
        <f t="shared" si="14"/>
        <v>29527</v>
      </c>
      <c r="G68" s="58">
        <f t="shared" si="14"/>
        <v>6221</v>
      </c>
      <c r="H68" s="58">
        <f t="shared" si="14"/>
        <v>0</v>
      </c>
      <c r="I68" s="58">
        <f t="shared" si="14"/>
        <v>6221</v>
      </c>
      <c r="J68" s="58">
        <f t="shared" si="14"/>
        <v>0</v>
      </c>
      <c r="K68" s="58">
        <f t="shared" si="14"/>
        <v>0</v>
      </c>
      <c r="L68" s="58">
        <f t="shared" si="14"/>
        <v>0</v>
      </c>
      <c r="M68" s="58">
        <f t="shared" si="14"/>
        <v>0</v>
      </c>
      <c r="N68" s="13"/>
    </row>
    <row r="69" spans="1:14" s="7" customFormat="1" ht="25.5" customHeight="1">
      <c r="A69" s="50"/>
      <c r="B69" s="23"/>
      <c r="C69" s="58">
        <f t="shared" ref="C69:M69" si="15">C72+C91+C99</f>
        <v>29277</v>
      </c>
      <c r="D69" s="58">
        <f t="shared" si="15"/>
        <v>47462</v>
      </c>
      <c r="E69" s="58">
        <f t="shared" si="15"/>
        <v>25394</v>
      </c>
      <c r="F69" s="58">
        <f t="shared" si="15"/>
        <v>22068</v>
      </c>
      <c r="G69" s="58">
        <f t="shared" si="15"/>
        <v>4858</v>
      </c>
      <c r="H69" s="58">
        <f t="shared" si="15"/>
        <v>0</v>
      </c>
      <c r="I69" s="58">
        <f t="shared" si="15"/>
        <v>4858</v>
      </c>
      <c r="J69" s="58">
        <f t="shared" si="15"/>
        <v>0</v>
      </c>
      <c r="K69" s="58">
        <f t="shared" si="15"/>
        <v>0</v>
      </c>
      <c r="L69" s="58">
        <f t="shared" si="15"/>
        <v>0</v>
      </c>
      <c r="M69" s="58">
        <f t="shared" si="15"/>
        <v>0</v>
      </c>
      <c r="N69" s="22"/>
    </row>
    <row r="70" spans="1:14" s="7" customFormat="1" ht="14.25" customHeight="1">
      <c r="A70" s="50"/>
      <c r="B70" s="23"/>
      <c r="C70" s="52"/>
      <c r="D70" s="52"/>
      <c r="E70" s="52"/>
      <c r="F70" s="52"/>
      <c r="G70" s="202"/>
      <c r="H70" s="202"/>
      <c r="I70" s="202"/>
      <c r="J70" s="202"/>
      <c r="K70" s="202"/>
      <c r="L70" s="202"/>
      <c r="M70" s="202"/>
      <c r="N70" s="22"/>
    </row>
    <row r="71" spans="1:14" s="7" customFormat="1" ht="23.25" customHeight="1">
      <c r="A71" s="50" t="s">
        <v>70</v>
      </c>
      <c r="B71" s="34" t="s">
        <v>43</v>
      </c>
      <c r="C71" s="51">
        <f>C75+C79+C83+C87</f>
        <v>45050</v>
      </c>
      <c r="D71" s="51">
        <f t="shared" ref="D71:M71" si="16">D75+D79+D83+D87</f>
        <v>65997</v>
      </c>
      <c r="E71" s="51">
        <f t="shared" si="16"/>
        <v>36492</v>
      </c>
      <c r="F71" s="51">
        <f t="shared" si="16"/>
        <v>29505</v>
      </c>
      <c r="G71" s="51">
        <f t="shared" si="16"/>
        <v>6199</v>
      </c>
      <c r="H71" s="51">
        <f t="shared" si="16"/>
        <v>0</v>
      </c>
      <c r="I71" s="51">
        <f t="shared" si="16"/>
        <v>6199</v>
      </c>
      <c r="J71" s="51">
        <f t="shared" si="16"/>
        <v>0</v>
      </c>
      <c r="K71" s="51">
        <f t="shared" si="16"/>
        <v>0</v>
      </c>
      <c r="L71" s="51">
        <f t="shared" si="16"/>
        <v>0</v>
      </c>
      <c r="M71" s="51">
        <f t="shared" si="16"/>
        <v>0</v>
      </c>
      <c r="N71" s="22"/>
    </row>
    <row r="72" spans="1:14" s="7" customFormat="1" ht="23.25" customHeight="1">
      <c r="A72" s="50"/>
      <c r="B72" s="35" t="s">
        <v>34</v>
      </c>
      <c r="C72" s="51">
        <f>C76+C80+C84+C88</f>
        <v>29277</v>
      </c>
      <c r="D72" s="51">
        <f t="shared" ref="D72:M72" si="17">D76+D80+D84+D88</f>
        <v>47462</v>
      </c>
      <c r="E72" s="51">
        <f t="shared" si="17"/>
        <v>25394</v>
      </c>
      <c r="F72" s="51">
        <f t="shared" si="17"/>
        <v>22068</v>
      </c>
      <c r="G72" s="51">
        <f t="shared" si="17"/>
        <v>4858</v>
      </c>
      <c r="H72" s="51">
        <f t="shared" si="17"/>
        <v>0</v>
      </c>
      <c r="I72" s="51">
        <f t="shared" si="17"/>
        <v>4858</v>
      </c>
      <c r="J72" s="51">
        <f t="shared" si="17"/>
        <v>0</v>
      </c>
      <c r="K72" s="51">
        <f t="shared" si="17"/>
        <v>0</v>
      </c>
      <c r="L72" s="51">
        <f t="shared" si="17"/>
        <v>0</v>
      </c>
      <c r="M72" s="51">
        <f t="shared" si="17"/>
        <v>0</v>
      </c>
      <c r="N72" s="22"/>
    </row>
    <row r="73" spans="1:14" s="7" customFormat="1" ht="8.25" customHeight="1">
      <c r="A73" s="50"/>
      <c r="B73" s="32"/>
      <c r="C73" s="52"/>
      <c r="D73" s="52"/>
      <c r="E73" s="52"/>
      <c r="F73" s="52"/>
      <c r="G73" s="202"/>
      <c r="H73" s="202"/>
      <c r="I73" s="202"/>
      <c r="J73" s="202"/>
      <c r="K73" s="202"/>
      <c r="L73" s="202"/>
      <c r="M73" s="202"/>
      <c r="N73" s="22"/>
    </row>
    <row r="74" spans="1:14" s="7" customFormat="1" ht="8.25" customHeight="1">
      <c r="A74" s="50"/>
      <c r="B74" s="32"/>
      <c r="C74" s="52"/>
      <c r="D74" s="52"/>
      <c r="E74" s="52"/>
      <c r="F74" s="52"/>
      <c r="G74" s="52"/>
      <c r="H74" s="52"/>
      <c r="I74" s="52"/>
      <c r="J74" s="52"/>
      <c r="K74" s="52"/>
      <c r="L74" s="52"/>
      <c r="M74" s="52"/>
      <c r="N74" s="22"/>
    </row>
    <row r="75" spans="1:14" s="7" customFormat="1" ht="42.75">
      <c r="A75" s="50">
        <v>1</v>
      </c>
      <c r="B75" s="192" t="s">
        <v>71</v>
      </c>
      <c r="C75" s="356">
        <v>13379</v>
      </c>
      <c r="D75" s="356">
        <v>22775</v>
      </c>
      <c r="E75" s="356">
        <f>1+183+11961-2107</f>
        <v>10038</v>
      </c>
      <c r="F75" s="2">
        <f>D75-E75</f>
        <v>12737</v>
      </c>
      <c r="G75" s="58">
        <f>SUM(H75:M75)</f>
        <v>2157</v>
      </c>
      <c r="H75" s="51"/>
      <c r="I75" s="51">
        <f>2000+157</f>
        <v>2157</v>
      </c>
      <c r="J75" s="51"/>
      <c r="K75" s="51"/>
      <c r="L75" s="51"/>
      <c r="M75" s="51"/>
      <c r="N75" s="22" t="s">
        <v>45</v>
      </c>
    </row>
    <row r="76" spans="1:14" s="7" customFormat="1" ht="35.25" customHeight="1">
      <c r="A76" s="50"/>
      <c r="B76" s="171" t="s">
        <v>72</v>
      </c>
      <c r="C76" s="51">
        <v>9396</v>
      </c>
      <c r="D76" s="51">
        <v>15575</v>
      </c>
      <c r="E76" s="51">
        <f>10474-2738-2343</f>
        <v>5393</v>
      </c>
      <c r="F76" s="2">
        <f>D76-E76</f>
        <v>10182</v>
      </c>
      <c r="G76" s="58">
        <f>SUM(H76:M76)</f>
        <v>1475</v>
      </c>
      <c r="H76" s="51"/>
      <c r="I76" s="51">
        <f>1368+107</f>
        <v>1475</v>
      </c>
      <c r="J76" s="51"/>
      <c r="K76" s="51"/>
      <c r="L76" s="51"/>
      <c r="M76" s="51"/>
      <c r="N76" s="22"/>
    </row>
    <row r="77" spans="1:14" s="7" customFormat="1" ht="9" customHeight="1">
      <c r="A77" s="50"/>
      <c r="B77" s="130"/>
      <c r="C77" s="52"/>
      <c r="D77" s="52"/>
      <c r="E77" s="52"/>
      <c r="F77" s="1"/>
      <c r="G77" s="52"/>
      <c r="H77" s="52"/>
      <c r="I77" s="52"/>
      <c r="J77" s="52"/>
      <c r="K77" s="52"/>
      <c r="L77" s="52"/>
      <c r="M77" s="52"/>
      <c r="N77" s="22"/>
    </row>
    <row r="78" spans="1:14" s="7" customFormat="1" ht="9" customHeight="1">
      <c r="A78" s="50"/>
      <c r="B78" s="161"/>
      <c r="C78" s="52"/>
      <c r="D78" s="52"/>
      <c r="E78" s="52"/>
      <c r="F78" s="1"/>
      <c r="G78" s="52"/>
      <c r="H78" s="52"/>
      <c r="I78" s="52"/>
      <c r="J78" s="52"/>
      <c r="K78" s="52"/>
      <c r="L78" s="52"/>
      <c r="M78" s="52"/>
      <c r="N78" s="22"/>
    </row>
    <row r="79" spans="1:14" s="7" customFormat="1" ht="46.5" customHeight="1">
      <c r="A79" s="50">
        <v>2</v>
      </c>
      <c r="B79" s="192" t="s">
        <v>73</v>
      </c>
      <c r="C79" s="356">
        <v>13645</v>
      </c>
      <c r="D79" s="356">
        <v>19270</v>
      </c>
      <c r="E79" s="356">
        <f>5+143+4684</f>
        <v>4832</v>
      </c>
      <c r="F79" s="2">
        <f>D79-E79</f>
        <v>14438</v>
      </c>
      <c r="G79" s="58">
        <f>SUM(H79:M79)</f>
        <v>2164</v>
      </c>
      <c r="H79" s="51"/>
      <c r="I79" s="51">
        <f>2010+154</f>
        <v>2164</v>
      </c>
      <c r="J79" s="51"/>
      <c r="K79" s="51"/>
      <c r="L79" s="51"/>
      <c r="M79" s="51"/>
      <c r="N79" s="22" t="s">
        <v>45</v>
      </c>
    </row>
    <row r="80" spans="1:14" s="7" customFormat="1" ht="26.25" customHeight="1">
      <c r="A80" s="50"/>
      <c r="B80" s="171" t="s">
        <v>74</v>
      </c>
      <c r="C80" s="51">
        <v>9472</v>
      </c>
      <c r="D80" s="51">
        <v>14496</v>
      </c>
      <c r="E80" s="51">
        <f>4563</f>
        <v>4563</v>
      </c>
      <c r="F80" s="2">
        <f>D80-E80</f>
        <v>9933</v>
      </c>
      <c r="G80" s="58">
        <f>SUM(H80:M80)</f>
        <v>1628</v>
      </c>
      <c r="H80" s="51"/>
      <c r="I80" s="51">
        <f>1512+116</f>
        <v>1628</v>
      </c>
      <c r="J80" s="51"/>
      <c r="K80" s="51"/>
      <c r="L80" s="51"/>
      <c r="M80" s="51"/>
      <c r="N80" s="22"/>
    </row>
    <row r="81" spans="1:14" s="7" customFormat="1" ht="9.75" customHeight="1">
      <c r="A81" s="50"/>
      <c r="B81" s="171"/>
      <c r="C81" s="52"/>
      <c r="D81" s="52"/>
      <c r="E81" s="52"/>
      <c r="F81" s="1"/>
      <c r="G81" s="202"/>
      <c r="H81" s="52"/>
      <c r="I81" s="52"/>
      <c r="J81" s="52"/>
      <c r="K81" s="52"/>
      <c r="L81" s="52"/>
      <c r="M81" s="52"/>
      <c r="N81" s="22"/>
    </row>
    <row r="82" spans="1:14" s="7" customFormat="1" ht="9.75" customHeight="1">
      <c r="A82" s="50"/>
      <c r="B82" s="171"/>
      <c r="C82" s="52"/>
      <c r="D82" s="52"/>
      <c r="E82" s="52"/>
      <c r="F82" s="1"/>
      <c r="G82" s="202"/>
      <c r="H82" s="52"/>
      <c r="I82" s="52"/>
      <c r="J82" s="52"/>
      <c r="K82" s="52"/>
      <c r="L82" s="52"/>
      <c r="M82" s="52"/>
      <c r="N82" s="22"/>
    </row>
    <row r="83" spans="1:14" s="7" customFormat="1" ht="42.75">
      <c r="A83" s="50">
        <v>3</v>
      </c>
      <c r="B83" s="192" t="s">
        <v>75</v>
      </c>
      <c r="C83" s="356">
        <v>7778</v>
      </c>
      <c r="D83" s="356">
        <v>9587</v>
      </c>
      <c r="E83" s="356">
        <f>116+3582+110+4949</f>
        <v>8757</v>
      </c>
      <c r="F83" s="2">
        <f>D83-E83</f>
        <v>830</v>
      </c>
      <c r="G83" s="58">
        <f>SUM(H83:M83)</f>
        <v>378</v>
      </c>
      <c r="H83" s="51"/>
      <c r="I83" s="51">
        <f>360+12+6</f>
        <v>378</v>
      </c>
      <c r="J83" s="51"/>
      <c r="K83" s="51"/>
      <c r="L83" s="51"/>
      <c r="M83" s="51"/>
      <c r="N83" s="22" t="s">
        <v>45</v>
      </c>
    </row>
    <row r="84" spans="1:14" s="7" customFormat="1" ht="26.25" customHeight="1">
      <c r="A84" s="50"/>
      <c r="B84" s="171" t="s">
        <v>76</v>
      </c>
      <c r="C84" s="51">
        <v>4317</v>
      </c>
      <c r="D84" s="51">
        <f>5792+751+1550</f>
        <v>8093</v>
      </c>
      <c r="E84" s="51">
        <f>97+3346+4097</f>
        <v>7540</v>
      </c>
      <c r="F84" s="2">
        <f>D84-E84</f>
        <v>553</v>
      </c>
      <c r="G84" s="58">
        <f>SUM(H84:M84)</f>
        <v>355</v>
      </c>
      <c r="H84" s="51"/>
      <c r="I84" s="51">
        <v>355</v>
      </c>
      <c r="J84" s="51"/>
      <c r="K84" s="51"/>
      <c r="L84" s="51"/>
      <c r="M84" s="51"/>
      <c r="N84" s="22"/>
    </row>
    <row r="85" spans="1:14" s="7" customFormat="1" ht="16.5" customHeight="1">
      <c r="A85" s="50"/>
      <c r="B85" s="171"/>
      <c r="C85" s="52"/>
      <c r="D85" s="52"/>
      <c r="E85" s="52"/>
      <c r="F85" s="1"/>
      <c r="G85" s="202"/>
      <c r="H85" s="52"/>
      <c r="I85" s="52"/>
      <c r="J85" s="52"/>
      <c r="K85" s="52"/>
      <c r="L85" s="52"/>
      <c r="M85" s="52"/>
      <c r="N85" s="22"/>
    </row>
    <row r="86" spans="1:14" s="7" customFormat="1" ht="16.5" customHeight="1">
      <c r="A86" s="50"/>
      <c r="B86" s="171"/>
      <c r="C86" s="52"/>
      <c r="D86" s="52"/>
      <c r="E86" s="52"/>
      <c r="F86" s="1"/>
      <c r="G86" s="202"/>
      <c r="H86" s="52"/>
      <c r="I86" s="52"/>
      <c r="J86" s="52"/>
      <c r="K86" s="52"/>
      <c r="L86" s="52"/>
      <c r="M86" s="52"/>
      <c r="N86" s="22"/>
    </row>
    <row r="87" spans="1:14" s="7" customFormat="1" ht="26.25" customHeight="1">
      <c r="A87" s="50">
        <v>4</v>
      </c>
      <c r="B87" s="192" t="s">
        <v>578</v>
      </c>
      <c r="C87" s="356">
        <v>10248</v>
      </c>
      <c r="D87" s="356">
        <v>14365</v>
      </c>
      <c r="E87" s="356">
        <f>4570+6961+1334</f>
        <v>12865</v>
      </c>
      <c r="F87" s="2">
        <f>D87-E87</f>
        <v>1500</v>
      </c>
      <c r="G87" s="58">
        <f>SUM(H87:M87)</f>
        <v>1500</v>
      </c>
      <c r="H87" s="51"/>
      <c r="I87" s="51">
        <v>1500</v>
      </c>
      <c r="J87" s="51"/>
      <c r="K87" s="51"/>
      <c r="L87" s="51"/>
      <c r="M87" s="51"/>
      <c r="N87" s="22" t="s">
        <v>45</v>
      </c>
    </row>
    <row r="88" spans="1:14" s="7" customFormat="1" ht="26.25" customHeight="1">
      <c r="A88" s="50"/>
      <c r="B88" s="171" t="s">
        <v>579</v>
      </c>
      <c r="C88" s="51">
        <v>6092</v>
      </c>
      <c r="D88" s="51">
        <v>9298</v>
      </c>
      <c r="E88" s="51">
        <f>3335+5341-778</f>
        <v>7898</v>
      </c>
      <c r="F88" s="2">
        <f>D88-E88</f>
        <v>1400</v>
      </c>
      <c r="G88" s="58">
        <f>SUM(H88:M88)</f>
        <v>1400</v>
      </c>
      <c r="H88" s="51"/>
      <c r="I88" s="51">
        <v>1400</v>
      </c>
      <c r="J88" s="51"/>
      <c r="K88" s="51"/>
      <c r="L88" s="51"/>
      <c r="M88" s="51"/>
      <c r="N88" s="22"/>
    </row>
    <row r="89" spans="1:14" s="7" customFormat="1" ht="15" customHeight="1">
      <c r="A89" s="50"/>
      <c r="B89" s="139"/>
      <c r="C89" s="52"/>
      <c r="D89" s="52"/>
      <c r="E89" s="52"/>
      <c r="F89" s="1"/>
      <c r="G89" s="52"/>
      <c r="H89" s="52"/>
      <c r="I89" s="52"/>
      <c r="J89" s="52"/>
      <c r="K89" s="52"/>
      <c r="L89" s="52"/>
      <c r="M89" s="52"/>
      <c r="N89" s="22"/>
    </row>
    <row r="90" spans="1:14" s="7" customFormat="1" ht="17.25" customHeight="1">
      <c r="A90" s="8" t="s">
        <v>35</v>
      </c>
      <c r="B90" s="34" t="s">
        <v>43</v>
      </c>
      <c r="C90" s="56">
        <f>C93</f>
        <v>0</v>
      </c>
      <c r="D90" s="56">
        <f t="shared" ref="D90:M90" si="18">D93</f>
        <v>0</v>
      </c>
      <c r="E90" s="56">
        <f t="shared" si="18"/>
        <v>0</v>
      </c>
      <c r="F90" s="56">
        <f t="shared" si="18"/>
        <v>0</v>
      </c>
      <c r="G90" s="56">
        <f t="shared" si="18"/>
        <v>0</v>
      </c>
      <c r="H90" s="56">
        <f t="shared" si="18"/>
        <v>0</v>
      </c>
      <c r="I90" s="56">
        <f t="shared" si="18"/>
        <v>0</v>
      </c>
      <c r="J90" s="56">
        <f t="shared" si="18"/>
        <v>0</v>
      </c>
      <c r="K90" s="56">
        <f t="shared" si="18"/>
        <v>0</v>
      </c>
      <c r="L90" s="56">
        <f t="shared" si="18"/>
        <v>0</v>
      </c>
      <c r="M90" s="56">
        <f t="shared" si="18"/>
        <v>0</v>
      </c>
      <c r="N90" s="22"/>
    </row>
    <row r="91" spans="1:14" s="7" customFormat="1" ht="17.25" customHeight="1">
      <c r="A91" s="50"/>
      <c r="B91" s="35" t="s">
        <v>36</v>
      </c>
      <c r="C91" s="56">
        <f>C94</f>
        <v>0</v>
      </c>
      <c r="D91" s="56">
        <f t="shared" ref="D91:M91" si="19">D94</f>
        <v>0</v>
      </c>
      <c r="E91" s="56">
        <f t="shared" si="19"/>
        <v>0</v>
      </c>
      <c r="F91" s="56">
        <f t="shared" si="19"/>
        <v>0</v>
      </c>
      <c r="G91" s="56">
        <f t="shared" si="19"/>
        <v>0</v>
      </c>
      <c r="H91" s="56">
        <f t="shared" si="19"/>
        <v>0</v>
      </c>
      <c r="I91" s="56">
        <f t="shared" si="19"/>
        <v>0</v>
      </c>
      <c r="J91" s="56">
        <f t="shared" si="19"/>
        <v>0</v>
      </c>
      <c r="K91" s="56">
        <f t="shared" si="19"/>
        <v>0</v>
      </c>
      <c r="L91" s="56">
        <f t="shared" si="19"/>
        <v>0</v>
      </c>
      <c r="M91" s="56">
        <f t="shared" si="19"/>
        <v>0</v>
      </c>
      <c r="N91" s="22"/>
    </row>
    <row r="92" spans="1:14" s="7" customFormat="1" ht="17.25" customHeight="1">
      <c r="A92" s="50"/>
      <c r="B92" s="32"/>
      <c r="C92" s="52"/>
      <c r="D92" s="52"/>
      <c r="E92" s="52"/>
      <c r="F92" s="52"/>
      <c r="G92" s="52"/>
      <c r="H92" s="52"/>
      <c r="I92" s="52"/>
      <c r="J92" s="52"/>
      <c r="K92" s="52"/>
      <c r="L92" s="52"/>
      <c r="M92" s="52"/>
      <c r="N92" s="22"/>
    </row>
    <row r="93" spans="1:14" s="7" customFormat="1" ht="17.25" customHeight="1">
      <c r="A93" s="50">
        <v>1</v>
      </c>
      <c r="B93" s="192"/>
      <c r="C93" s="356">
        <v>0</v>
      </c>
      <c r="D93" s="356">
        <f>C93</f>
        <v>0</v>
      </c>
      <c r="E93" s="356">
        <v>0</v>
      </c>
      <c r="F93" s="2">
        <f>D93-E93</f>
        <v>0</v>
      </c>
      <c r="G93" s="58">
        <f>SUM(H93:M93)</f>
        <v>0</v>
      </c>
      <c r="H93" s="51">
        <v>0</v>
      </c>
      <c r="I93" s="51"/>
      <c r="J93" s="51">
        <v>0</v>
      </c>
      <c r="K93" s="51"/>
      <c r="L93" s="51">
        <v>0</v>
      </c>
      <c r="M93" s="51">
        <v>0</v>
      </c>
      <c r="N93" s="22" t="s">
        <v>45</v>
      </c>
    </row>
    <row r="94" spans="1:14" s="7" customFormat="1" ht="17.25" customHeight="1">
      <c r="A94" s="50"/>
      <c r="B94" s="161"/>
      <c r="C94" s="51">
        <v>0</v>
      </c>
      <c r="D94" s="51">
        <f>C94</f>
        <v>0</v>
      </c>
      <c r="E94" s="51">
        <v>0</v>
      </c>
      <c r="F94" s="2">
        <f>D94-E94</f>
        <v>0</v>
      </c>
      <c r="G94" s="58">
        <f>SUM(H94:M94)</f>
        <v>0</v>
      </c>
      <c r="H94" s="51">
        <v>0</v>
      </c>
      <c r="I94" s="51"/>
      <c r="J94" s="51">
        <v>0</v>
      </c>
      <c r="K94" s="51"/>
      <c r="L94" s="51">
        <v>0</v>
      </c>
      <c r="M94" s="51">
        <v>0</v>
      </c>
      <c r="N94" s="22"/>
    </row>
    <row r="95" spans="1:14" s="7" customFormat="1" ht="17.25" customHeight="1">
      <c r="A95" s="50"/>
      <c r="B95" s="32"/>
      <c r="C95" s="52"/>
      <c r="D95" s="52"/>
      <c r="E95" s="52"/>
      <c r="F95" s="52"/>
      <c r="G95" s="52"/>
      <c r="H95" s="52"/>
      <c r="I95" s="52"/>
      <c r="J95" s="52"/>
      <c r="K95" s="52"/>
      <c r="L95" s="52"/>
      <c r="M95" s="52"/>
      <c r="N95" s="22"/>
    </row>
    <row r="96" spans="1:14" s="7" customFormat="1" ht="17.25" customHeight="1">
      <c r="A96" s="50"/>
      <c r="B96" s="32"/>
      <c r="C96" s="52"/>
      <c r="D96" s="52"/>
      <c r="E96" s="52"/>
      <c r="F96" s="52"/>
      <c r="G96" s="52"/>
      <c r="H96" s="52"/>
      <c r="I96" s="52"/>
      <c r="J96" s="52"/>
      <c r="K96" s="52"/>
      <c r="L96" s="52"/>
      <c r="M96" s="52"/>
      <c r="N96" s="22"/>
    </row>
    <row r="97" spans="1:14" s="7" customFormat="1" ht="17.25" customHeight="1">
      <c r="A97" s="50"/>
      <c r="B97" s="161"/>
      <c r="C97" s="52"/>
      <c r="D97" s="52"/>
      <c r="E97" s="52"/>
      <c r="F97" s="1"/>
      <c r="G97" s="202"/>
      <c r="H97" s="52"/>
      <c r="I97" s="52"/>
      <c r="J97" s="52"/>
      <c r="K97" s="52"/>
      <c r="L97" s="52"/>
      <c r="M97" s="52"/>
      <c r="N97" s="22"/>
    </row>
    <row r="98" spans="1:14" s="7" customFormat="1" ht="17.25" customHeight="1">
      <c r="A98" s="50" t="s">
        <v>37</v>
      </c>
      <c r="B98" s="34" t="s">
        <v>60</v>
      </c>
      <c r="C98" s="56">
        <f>C101+C102+C103</f>
        <v>22</v>
      </c>
      <c r="D98" s="56">
        <f>D101+D102+D103</f>
        <v>22</v>
      </c>
      <c r="E98" s="56">
        <f>E101+E102+E103</f>
        <v>0</v>
      </c>
      <c r="F98" s="56">
        <f>F101+F102+F103</f>
        <v>22</v>
      </c>
      <c r="G98" s="274">
        <f t="shared" ref="G98:M98" si="20">G101+G102+G103</f>
        <v>22</v>
      </c>
      <c r="H98" s="56">
        <f t="shared" si="20"/>
        <v>0</v>
      </c>
      <c r="I98" s="56">
        <f t="shared" si="20"/>
        <v>22</v>
      </c>
      <c r="J98" s="56">
        <f t="shared" si="20"/>
        <v>0</v>
      </c>
      <c r="K98" s="56">
        <f t="shared" si="20"/>
        <v>0</v>
      </c>
      <c r="L98" s="56">
        <f>L101+L102+L103</f>
        <v>0</v>
      </c>
      <c r="M98" s="56">
        <f t="shared" si="20"/>
        <v>0</v>
      </c>
      <c r="N98" s="55"/>
    </row>
    <row r="99" spans="1:14" s="7" customFormat="1" ht="17.25" customHeight="1">
      <c r="A99" s="50"/>
      <c r="B99" s="35" t="s">
        <v>61</v>
      </c>
      <c r="C99" s="56">
        <v>0</v>
      </c>
      <c r="D99" s="56">
        <v>0</v>
      </c>
      <c r="E99" s="56">
        <v>0</v>
      </c>
      <c r="F99" s="56">
        <v>0</v>
      </c>
      <c r="G99" s="274">
        <v>0</v>
      </c>
      <c r="H99" s="56">
        <v>0</v>
      </c>
      <c r="I99" s="56">
        <v>0</v>
      </c>
      <c r="J99" s="56">
        <v>0</v>
      </c>
      <c r="K99" s="56">
        <v>0</v>
      </c>
      <c r="L99" s="56">
        <v>0</v>
      </c>
      <c r="M99" s="56">
        <v>0</v>
      </c>
      <c r="N99" s="55"/>
    </row>
    <row r="100" spans="1:14" s="7" customFormat="1" ht="17.25" customHeight="1">
      <c r="A100" s="50"/>
      <c r="B100" s="16" t="s">
        <v>42</v>
      </c>
      <c r="C100" s="52"/>
      <c r="D100" s="52"/>
      <c r="E100" s="52"/>
      <c r="F100" s="52"/>
      <c r="G100" s="52"/>
      <c r="H100" s="52"/>
      <c r="I100" s="52"/>
      <c r="J100" s="52"/>
      <c r="K100" s="52"/>
      <c r="L100" s="52"/>
      <c r="M100" s="52"/>
      <c r="N100" s="55"/>
    </row>
    <row r="101" spans="1:14" s="7" customFormat="1" ht="19.5" customHeight="1">
      <c r="A101" s="50"/>
      <c r="B101" s="23" t="s">
        <v>62</v>
      </c>
      <c r="C101" s="52">
        <f>'A3BIS - STUDII SI PROIECTE 2024'!D24</f>
        <v>14</v>
      </c>
      <c r="D101" s="52">
        <f>'A3BIS - STUDII SI PROIECTE 2024'!E24</f>
        <v>14</v>
      </c>
      <c r="E101" s="52">
        <f>'A3BIS - STUDII SI PROIECTE 2024'!F24</f>
        <v>0</v>
      </c>
      <c r="F101" s="52">
        <f>'A3BIS - STUDII SI PROIECTE 2024'!G24</f>
        <v>14</v>
      </c>
      <c r="G101" s="52">
        <f>'A3BIS - STUDII SI PROIECTE 2024'!H24</f>
        <v>14</v>
      </c>
      <c r="H101" s="52">
        <f>'A3BIS - STUDII SI PROIECTE 2024'!I24</f>
        <v>0</v>
      </c>
      <c r="I101" s="52">
        <f>'A3BIS - STUDII SI PROIECTE 2024'!J24</f>
        <v>14</v>
      </c>
      <c r="J101" s="52">
        <f>'A3BIS - STUDII SI PROIECTE 2024'!K24</f>
        <v>0</v>
      </c>
      <c r="K101" s="52">
        <f>'A3BIS - STUDII SI PROIECTE 2024'!L24</f>
        <v>0</v>
      </c>
      <c r="L101" s="52">
        <f>'A3BIS - STUDII SI PROIECTE 2024'!M24</f>
        <v>0</v>
      </c>
      <c r="M101" s="52">
        <f>'A3BIS - STUDII SI PROIECTE 2024'!N24</f>
        <v>0</v>
      </c>
      <c r="N101" s="55"/>
    </row>
    <row r="102" spans="1:14" s="7" customFormat="1" ht="19.5" customHeight="1">
      <c r="A102" s="50"/>
      <c r="B102" s="23" t="s">
        <v>121</v>
      </c>
      <c r="C102" s="52">
        <f>'A3 BIS - DOTARI 2024'!D26</f>
        <v>8</v>
      </c>
      <c r="D102" s="52">
        <f>'A3 BIS - DOTARI 2024'!E26</f>
        <v>8</v>
      </c>
      <c r="E102" s="52">
        <f>'A3 BIS - DOTARI 2024'!F26</f>
        <v>0</v>
      </c>
      <c r="F102" s="52">
        <f>'A3 BIS - DOTARI 2024'!G26</f>
        <v>8</v>
      </c>
      <c r="G102" s="52">
        <f>'A3 BIS - DOTARI 2024'!H26</f>
        <v>8</v>
      </c>
      <c r="H102" s="52">
        <f>'A3 BIS - DOTARI 2024'!I26</f>
        <v>0</v>
      </c>
      <c r="I102" s="52">
        <f>'A3 BIS - DOTARI 2024'!J26</f>
        <v>8</v>
      </c>
      <c r="J102" s="52">
        <f>'A3 BIS - DOTARI 2024'!K26</f>
        <v>0</v>
      </c>
      <c r="K102" s="52">
        <f>'A3 BIS - DOTARI 2024'!L26</f>
        <v>0</v>
      </c>
      <c r="L102" s="52">
        <f>'A3 BIS - DOTARI 2024'!M26</f>
        <v>0</v>
      </c>
      <c r="M102" s="52">
        <f>'A3 BIS - DOTARI 2024'!N26</f>
        <v>0</v>
      </c>
      <c r="N102" s="55"/>
    </row>
    <row r="103" spans="1:14" s="7" customFormat="1" ht="19.5" customHeight="1">
      <c r="A103" s="50"/>
      <c r="B103" s="23" t="s">
        <v>67</v>
      </c>
      <c r="C103" s="52">
        <f>'A3 BIS ALTE CHELTUIELI 2024'!D22</f>
        <v>0</v>
      </c>
      <c r="D103" s="52">
        <f>'A3 BIS ALTE CHELTUIELI 2024'!E22</f>
        <v>0</v>
      </c>
      <c r="E103" s="52">
        <f>'A3 BIS ALTE CHELTUIELI 2024'!F22</f>
        <v>0</v>
      </c>
      <c r="F103" s="52">
        <f>'A3 BIS ALTE CHELTUIELI 2024'!G22</f>
        <v>0</v>
      </c>
      <c r="G103" s="52">
        <f>'A3 BIS ALTE CHELTUIELI 2024'!H22</f>
        <v>0</v>
      </c>
      <c r="H103" s="52">
        <f>'A3 BIS ALTE CHELTUIELI 2024'!I22</f>
        <v>0</v>
      </c>
      <c r="I103" s="52">
        <f>'A3 BIS ALTE CHELTUIELI 2024'!J22</f>
        <v>0</v>
      </c>
      <c r="J103" s="52">
        <f>'A3 BIS ALTE CHELTUIELI 2024'!K22</f>
        <v>0</v>
      </c>
      <c r="K103" s="52">
        <f>'A3 BIS ALTE CHELTUIELI 2024'!L22</f>
        <v>0</v>
      </c>
      <c r="L103" s="52">
        <f>'A3 BIS ALTE CHELTUIELI 2024'!M22</f>
        <v>0</v>
      </c>
      <c r="M103" s="52">
        <f>'A3 BIS ALTE CHELTUIELI 2024'!N22</f>
        <v>0</v>
      </c>
      <c r="N103" s="55"/>
    </row>
    <row r="104" spans="1:14" s="7" customFormat="1" ht="19.5" customHeight="1">
      <c r="A104" s="50"/>
      <c r="B104" s="23"/>
      <c r="C104" s="52"/>
      <c r="D104" s="52"/>
      <c r="E104" s="52"/>
      <c r="F104" s="52"/>
      <c r="G104" s="52"/>
      <c r="H104" s="52"/>
      <c r="I104" s="52"/>
      <c r="J104" s="52"/>
      <c r="K104" s="52"/>
      <c r="L104" s="52"/>
      <c r="M104" s="52"/>
      <c r="N104" s="55"/>
    </row>
    <row r="105" spans="1:14" s="7" customFormat="1" ht="19.5" customHeight="1">
      <c r="A105" s="50"/>
      <c r="B105" s="23"/>
      <c r="C105" s="52"/>
      <c r="D105" s="52"/>
      <c r="E105" s="52"/>
      <c r="F105" s="52"/>
      <c r="G105" s="52"/>
      <c r="H105" s="52"/>
      <c r="I105" s="52"/>
      <c r="J105" s="52"/>
      <c r="K105" s="52"/>
      <c r="L105" s="52"/>
      <c r="M105" s="52"/>
      <c r="N105" s="55"/>
    </row>
    <row r="106" spans="1:14" s="7" customFormat="1" ht="19.5" customHeight="1">
      <c r="A106" s="50"/>
      <c r="B106" s="23"/>
      <c r="C106" s="52"/>
      <c r="D106" s="52"/>
      <c r="E106" s="52"/>
      <c r="F106" s="52"/>
      <c r="G106" s="52"/>
      <c r="H106" s="52"/>
      <c r="I106" s="52"/>
      <c r="J106" s="52"/>
      <c r="K106" s="52"/>
      <c r="L106" s="52"/>
      <c r="M106" s="52"/>
      <c r="N106" s="55"/>
    </row>
    <row r="107" spans="1:14" s="7" customFormat="1" ht="19.5" customHeight="1">
      <c r="A107" s="50"/>
      <c r="B107" s="23"/>
      <c r="C107" s="52"/>
      <c r="D107" s="52"/>
      <c r="E107" s="52"/>
      <c r="F107" s="52"/>
      <c r="G107" s="52"/>
      <c r="H107" s="52"/>
      <c r="I107" s="52"/>
      <c r="J107" s="52"/>
      <c r="K107" s="52"/>
      <c r="L107" s="52"/>
      <c r="M107" s="52"/>
      <c r="N107" s="55"/>
    </row>
    <row r="108" spans="1:14" s="7" customFormat="1" ht="18" customHeight="1">
      <c r="A108" s="50"/>
      <c r="B108" s="23"/>
      <c r="C108" s="52"/>
      <c r="D108" s="52"/>
      <c r="E108" s="52"/>
      <c r="F108" s="52"/>
      <c r="G108" s="52"/>
      <c r="H108" s="52"/>
      <c r="I108" s="52"/>
      <c r="J108" s="52"/>
      <c r="K108" s="52"/>
      <c r="L108" s="52"/>
      <c r="M108" s="52"/>
      <c r="N108" s="55"/>
    </row>
    <row r="109" spans="1:14" s="7" customFormat="1" ht="28.5" customHeight="1">
      <c r="A109" s="277"/>
      <c r="B109" s="57" t="s">
        <v>122</v>
      </c>
      <c r="C109" s="9" t="s">
        <v>123</v>
      </c>
      <c r="D109" s="9"/>
      <c r="E109" s="9"/>
      <c r="F109" s="9"/>
      <c r="G109" s="9"/>
      <c r="H109" s="9"/>
      <c r="I109" s="9"/>
      <c r="J109" s="9"/>
      <c r="K109" s="9"/>
      <c r="L109" s="104"/>
      <c r="M109" s="9" t="s">
        <v>41</v>
      </c>
      <c r="N109" s="55"/>
    </row>
    <row r="110" spans="1:14" s="7" customFormat="1" ht="19.5" customHeight="1">
      <c r="A110" s="50"/>
      <c r="B110" s="16" t="s">
        <v>42</v>
      </c>
      <c r="C110" s="58">
        <f t="shared" ref="C110:M110" si="21">C113+C116+C123</f>
        <v>604303</v>
      </c>
      <c r="D110" s="58">
        <f t="shared" si="21"/>
        <v>604303</v>
      </c>
      <c r="E110" s="58">
        <f t="shared" si="21"/>
        <v>0</v>
      </c>
      <c r="F110" s="58">
        <f t="shared" si="21"/>
        <v>604303</v>
      </c>
      <c r="G110" s="58">
        <f t="shared" si="21"/>
        <v>3371</v>
      </c>
      <c r="H110" s="58">
        <f t="shared" si="21"/>
        <v>0</v>
      </c>
      <c r="I110" s="58">
        <f t="shared" si="21"/>
        <v>3371</v>
      </c>
      <c r="J110" s="58">
        <f t="shared" si="21"/>
        <v>0</v>
      </c>
      <c r="K110" s="58">
        <f t="shared" si="21"/>
        <v>0</v>
      </c>
      <c r="L110" s="58">
        <f t="shared" si="21"/>
        <v>0</v>
      </c>
      <c r="M110" s="58">
        <f t="shared" si="21"/>
        <v>0</v>
      </c>
      <c r="N110" s="55"/>
    </row>
    <row r="111" spans="1:14" s="7" customFormat="1" ht="19.5" customHeight="1">
      <c r="A111" s="50"/>
      <c r="B111" s="23"/>
      <c r="C111" s="58">
        <f t="shared" ref="C111:M111" si="22">C114+C117+C124</f>
        <v>234901</v>
      </c>
      <c r="D111" s="58">
        <f t="shared" si="22"/>
        <v>234901</v>
      </c>
      <c r="E111" s="58">
        <f t="shared" si="22"/>
        <v>0</v>
      </c>
      <c r="F111" s="58">
        <f t="shared" si="22"/>
        <v>234901</v>
      </c>
      <c r="G111" s="58">
        <f t="shared" si="22"/>
        <v>1191</v>
      </c>
      <c r="H111" s="58">
        <f t="shared" si="22"/>
        <v>0</v>
      </c>
      <c r="I111" s="58">
        <f t="shared" si="22"/>
        <v>1191</v>
      </c>
      <c r="J111" s="58">
        <f t="shared" si="22"/>
        <v>0</v>
      </c>
      <c r="K111" s="58">
        <f t="shared" si="22"/>
        <v>0</v>
      </c>
      <c r="L111" s="58">
        <f t="shared" si="22"/>
        <v>0</v>
      </c>
      <c r="M111" s="58">
        <f t="shared" si="22"/>
        <v>0</v>
      </c>
      <c r="N111" s="55"/>
    </row>
    <row r="112" spans="1:14" s="7" customFormat="1" ht="19.5" customHeight="1">
      <c r="A112" s="50"/>
      <c r="B112" s="23"/>
      <c r="C112" s="52"/>
      <c r="D112" s="52"/>
      <c r="E112" s="52"/>
      <c r="F112" s="52"/>
      <c r="G112" s="202"/>
      <c r="H112" s="202"/>
      <c r="I112" s="202"/>
      <c r="J112" s="202"/>
      <c r="K112" s="202"/>
      <c r="L112" s="202"/>
      <c r="M112" s="52"/>
      <c r="N112" s="55"/>
    </row>
    <row r="113" spans="1:14" s="7" customFormat="1" ht="19.5" customHeight="1">
      <c r="A113" s="50" t="s">
        <v>70</v>
      </c>
      <c r="B113" s="34" t="s">
        <v>43</v>
      </c>
      <c r="C113" s="51">
        <v>0</v>
      </c>
      <c r="D113" s="51">
        <v>0</v>
      </c>
      <c r="E113" s="51">
        <v>0</v>
      </c>
      <c r="F113" s="51">
        <v>0</v>
      </c>
      <c r="G113" s="58">
        <f>SUM(H113:M113)</f>
        <v>0</v>
      </c>
      <c r="H113" s="51">
        <v>0</v>
      </c>
      <c r="I113" s="51">
        <v>0</v>
      </c>
      <c r="J113" s="51">
        <v>0</v>
      </c>
      <c r="K113" s="51">
        <v>0</v>
      </c>
      <c r="L113" s="51">
        <v>0</v>
      </c>
      <c r="M113" s="51">
        <v>0</v>
      </c>
      <c r="N113" s="55"/>
    </row>
    <row r="114" spans="1:14" s="7" customFormat="1" ht="19.5" customHeight="1">
      <c r="A114" s="50"/>
      <c r="B114" s="35" t="s">
        <v>34</v>
      </c>
      <c r="C114" s="51">
        <v>0</v>
      </c>
      <c r="D114" s="51">
        <v>0</v>
      </c>
      <c r="E114" s="51">
        <v>0</v>
      </c>
      <c r="F114" s="51">
        <v>0</v>
      </c>
      <c r="G114" s="58">
        <f>SUM(H114:M114)</f>
        <v>0</v>
      </c>
      <c r="H114" s="51">
        <v>0</v>
      </c>
      <c r="I114" s="51">
        <v>0</v>
      </c>
      <c r="J114" s="51">
        <v>0</v>
      </c>
      <c r="K114" s="51">
        <v>0</v>
      </c>
      <c r="L114" s="51">
        <v>0</v>
      </c>
      <c r="M114" s="51">
        <v>0</v>
      </c>
      <c r="N114" s="55"/>
    </row>
    <row r="115" spans="1:14" s="7" customFormat="1" ht="19.5" customHeight="1">
      <c r="A115" s="50"/>
      <c r="B115" s="32"/>
      <c r="C115" s="52"/>
      <c r="D115" s="52"/>
      <c r="E115" s="52"/>
      <c r="F115" s="52"/>
      <c r="G115" s="202"/>
      <c r="H115" s="52"/>
      <c r="I115" s="52"/>
      <c r="J115" s="52"/>
      <c r="K115" s="52"/>
      <c r="L115" s="52"/>
      <c r="M115" s="52"/>
      <c r="N115" s="22"/>
    </row>
    <row r="116" spans="1:14" s="7" customFormat="1" ht="19.5" customHeight="1">
      <c r="A116" s="8" t="s">
        <v>35</v>
      </c>
      <c r="B116" s="34" t="s">
        <v>43</v>
      </c>
      <c r="C116" s="56">
        <f>C119</f>
        <v>603995</v>
      </c>
      <c r="D116" s="56">
        <f t="shared" ref="D116:M116" si="23">D119</f>
        <v>603995</v>
      </c>
      <c r="E116" s="56">
        <f t="shared" si="23"/>
        <v>0</v>
      </c>
      <c r="F116" s="56">
        <f t="shared" si="23"/>
        <v>603995</v>
      </c>
      <c r="G116" s="56">
        <f t="shared" si="23"/>
        <v>3063</v>
      </c>
      <c r="H116" s="56">
        <f t="shared" si="23"/>
        <v>0</v>
      </c>
      <c r="I116" s="56">
        <f t="shared" si="23"/>
        <v>3063</v>
      </c>
      <c r="J116" s="56">
        <f t="shared" si="23"/>
        <v>0</v>
      </c>
      <c r="K116" s="56">
        <f t="shared" si="23"/>
        <v>0</v>
      </c>
      <c r="L116" s="56">
        <f t="shared" si="23"/>
        <v>0</v>
      </c>
      <c r="M116" s="56">
        <f t="shared" si="23"/>
        <v>0</v>
      </c>
      <c r="N116" s="22"/>
    </row>
    <row r="117" spans="1:14" s="7" customFormat="1" ht="19.5" customHeight="1">
      <c r="A117" s="50"/>
      <c r="B117" s="35" t="s">
        <v>36</v>
      </c>
      <c r="C117" s="56">
        <f>C120</f>
        <v>234901</v>
      </c>
      <c r="D117" s="56">
        <f t="shared" ref="D117:M117" si="24">D120</f>
        <v>234901</v>
      </c>
      <c r="E117" s="56">
        <f t="shared" si="24"/>
        <v>0</v>
      </c>
      <c r="F117" s="56">
        <f t="shared" si="24"/>
        <v>234901</v>
      </c>
      <c r="G117" s="56">
        <f t="shared" si="24"/>
        <v>1191</v>
      </c>
      <c r="H117" s="56">
        <f t="shared" si="24"/>
        <v>0</v>
      </c>
      <c r="I117" s="56">
        <f t="shared" si="24"/>
        <v>1191</v>
      </c>
      <c r="J117" s="56">
        <f t="shared" si="24"/>
        <v>0</v>
      </c>
      <c r="K117" s="56">
        <f t="shared" si="24"/>
        <v>0</v>
      </c>
      <c r="L117" s="56">
        <f t="shared" si="24"/>
        <v>0</v>
      </c>
      <c r="M117" s="56">
        <f t="shared" si="24"/>
        <v>0</v>
      </c>
      <c r="N117" s="55"/>
    </row>
    <row r="118" spans="1:14" s="7" customFormat="1" ht="19.5" customHeight="1">
      <c r="A118" s="50"/>
      <c r="B118" s="161"/>
      <c r="C118" s="52"/>
      <c r="D118" s="52"/>
      <c r="E118" s="52"/>
      <c r="F118" s="1"/>
      <c r="G118" s="202"/>
      <c r="H118" s="52"/>
      <c r="I118" s="52"/>
      <c r="J118" s="52"/>
      <c r="K118" s="52"/>
      <c r="L118" s="52"/>
      <c r="M118" s="52"/>
      <c r="N118" s="22"/>
    </row>
    <row r="119" spans="1:14" s="7" customFormat="1" ht="40.5" customHeight="1">
      <c r="A119" s="50">
        <v>1</v>
      </c>
      <c r="B119" s="192" t="s">
        <v>126</v>
      </c>
      <c r="C119" s="356">
        <v>603995</v>
      </c>
      <c r="D119" s="356">
        <f>C119</f>
        <v>603995</v>
      </c>
      <c r="E119" s="356">
        <v>0</v>
      </c>
      <c r="F119" s="2">
        <f>D119-E119</f>
        <v>603995</v>
      </c>
      <c r="G119" s="58">
        <f>SUM(H119:M119)</f>
        <v>3063</v>
      </c>
      <c r="H119" s="51"/>
      <c r="I119" s="51">
        <v>3063</v>
      </c>
      <c r="J119" s="51"/>
      <c r="K119" s="51"/>
      <c r="L119" s="51"/>
      <c r="M119" s="51"/>
      <c r="N119" s="22" t="s">
        <v>45</v>
      </c>
    </row>
    <row r="120" spans="1:14" s="7" customFormat="1" ht="19.5" customHeight="1">
      <c r="A120" s="50"/>
      <c r="B120" s="161" t="s">
        <v>127</v>
      </c>
      <c r="C120" s="51">
        <v>234901</v>
      </c>
      <c r="D120" s="51">
        <f>C120</f>
        <v>234901</v>
      </c>
      <c r="E120" s="51">
        <v>0</v>
      </c>
      <c r="F120" s="2">
        <f>D120-E120</f>
        <v>234901</v>
      </c>
      <c r="G120" s="58">
        <f>SUM(H120:M120)</f>
        <v>1191</v>
      </c>
      <c r="H120" s="51"/>
      <c r="I120" s="51">
        <v>1191</v>
      </c>
      <c r="J120" s="51"/>
      <c r="K120" s="51"/>
      <c r="L120" s="51"/>
      <c r="M120" s="51"/>
      <c r="N120" s="22"/>
    </row>
    <row r="121" spans="1:14" s="7" customFormat="1" ht="13.5" customHeight="1">
      <c r="A121" s="50"/>
      <c r="B121" s="161"/>
      <c r="C121" s="52"/>
      <c r="D121" s="52"/>
      <c r="E121" s="52"/>
      <c r="F121" s="1"/>
      <c r="G121" s="202"/>
      <c r="H121" s="52"/>
      <c r="I121" s="52"/>
      <c r="J121" s="52"/>
      <c r="K121" s="52"/>
      <c r="L121" s="52"/>
      <c r="M121" s="52"/>
      <c r="N121" s="22"/>
    </row>
    <row r="122" spans="1:14" s="7" customFormat="1" ht="13.5" customHeight="1">
      <c r="A122" s="50"/>
      <c r="B122" s="161"/>
      <c r="C122" s="52"/>
      <c r="D122" s="52"/>
      <c r="E122" s="52"/>
      <c r="F122" s="1"/>
      <c r="G122" s="202"/>
      <c r="H122" s="52"/>
      <c r="I122" s="52"/>
      <c r="J122" s="52"/>
      <c r="K122" s="52"/>
      <c r="L122" s="52"/>
      <c r="M122" s="52"/>
      <c r="N122" s="22"/>
    </row>
    <row r="123" spans="1:14" s="7" customFormat="1" ht="19.5" customHeight="1">
      <c r="A123" s="50" t="s">
        <v>37</v>
      </c>
      <c r="B123" s="34" t="s">
        <v>128</v>
      </c>
      <c r="C123" s="51">
        <f>C126+C127+C128</f>
        <v>308</v>
      </c>
      <c r="D123" s="51">
        <f t="shared" ref="D123:M123" si="25">D126+D127+D128</f>
        <v>308</v>
      </c>
      <c r="E123" s="51">
        <f t="shared" si="25"/>
        <v>0</v>
      </c>
      <c r="F123" s="51">
        <f t="shared" si="25"/>
        <v>308</v>
      </c>
      <c r="G123" s="58">
        <f>G126+G127+G128</f>
        <v>308</v>
      </c>
      <c r="H123" s="51">
        <f t="shared" si="25"/>
        <v>0</v>
      </c>
      <c r="I123" s="51">
        <f t="shared" si="25"/>
        <v>308</v>
      </c>
      <c r="J123" s="51">
        <f t="shared" si="25"/>
        <v>0</v>
      </c>
      <c r="K123" s="51">
        <f>K126+K127+K128</f>
        <v>0</v>
      </c>
      <c r="L123" s="51">
        <f t="shared" si="25"/>
        <v>0</v>
      </c>
      <c r="M123" s="51">
        <f t="shared" si="25"/>
        <v>0</v>
      </c>
      <c r="N123" s="55"/>
    </row>
    <row r="124" spans="1:14" s="7" customFormat="1" ht="19.5" customHeight="1">
      <c r="A124" s="50"/>
      <c r="B124" s="35" t="s">
        <v>61</v>
      </c>
      <c r="C124" s="51"/>
      <c r="D124" s="51"/>
      <c r="E124" s="51"/>
      <c r="F124" s="51"/>
      <c r="G124" s="58"/>
      <c r="H124" s="51"/>
      <c r="I124" s="51"/>
      <c r="J124" s="51"/>
      <c r="K124" s="51"/>
      <c r="L124" s="51"/>
      <c r="M124" s="51"/>
      <c r="N124" s="55"/>
    </row>
    <row r="125" spans="1:14" s="7" customFormat="1" ht="19.5" customHeight="1">
      <c r="A125" s="50"/>
      <c r="B125" s="16" t="s">
        <v>42</v>
      </c>
      <c r="C125" s="52"/>
      <c r="D125" s="52"/>
      <c r="E125" s="52"/>
      <c r="F125" s="52"/>
      <c r="G125" s="202"/>
      <c r="H125" s="52"/>
      <c r="I125" s="52"/>
      <c r="J125" s="52"/>
      <c r="K125" s="52"/>
      <c r="L125" s="52"/>
      <c r="M125" s="52"/>
      <c r="N125" s="55"/>
    </row>
    <row r="126" spans="1:14" s="7" customFormat="1" ht="19.5" customHeight="1">
      <c r="A126" s="44"/>
      <c r="B126" s="137" t="s">
        <v>129</v>
      </c>
      <c r="C126" s="52">
        <f>'A3BIS - STUDII SI PROIECTE 2024'!D29</f>
        <v>307</v>
      </c>
      <c r="D126" s="52">
        <f>'A3BIS - STUDII SI PROIECTE 2024'!E29</f>
        <v>307</v>
      </c>
      <c r="E126" s="52">
        <f>'A3BIS - STUDII SI PROIECTE 2024'!F29</f>
        <v>0</v>
      </c>
      <c r="F126" s="52">
        <f>'A3BIS - STUDII SI PROIECTE 2024'!G29</f>
        <v>307</v>
      </c>
      <c r="G126" s="52">
        <f>'A3BIS - STUDII SI PROIECTE 2024'!H29</f>
        <v>307</v>
      </c>
      <c r="H126" s="52">
        <f>'A3BIS - STUDII SI PROIECTE 2024'!I29</f>
        <v>0</v>
      </c>
      <c r="I126" s="52">
        <f>'A3BIS - STUDII SI PROIECTE 2024'!J29</f>
        <v>307</v>
      </c>
      <c r="J126" s="52">
        <f>'A3BIS - STUDII SI PROIECTE 2024'!K29</f>
        <v>0</v>
      </c>
      <c r="K126" s="52">
        <f>'A3BIS - STUDII SI PROIECTE 2024'!L29</f>
        <v>0</v>
      </c>
      <c r="L126" s="52">
        <f>'A3BIS - STUDII SI PROIECTE 2024'!M29</f>
        <v>0</v>
      </c>
      <c r="M126" s="52">
        <f>'A3BIS - STUDII SI PROIECTE 2024'!N29</f>
        <v>0</v>
      </c>
      <c r="N126" s="55"/>
    </row>
    <row r="127" spans="1:14" s="7" customFormat="1" ht="19.5" customHeight="1">
      <c r="A127" s="44"/>
      <c r="B127" s="137" t="s">
        <v>63</v>
      </c>
      <c r="C127" s="45">
        <f>'A3 BIS - DOTARI 2024'!D33</f>
        <v>1</v>
      </c>
      <c r="D127" s="45">
        <f>'A3 BIS - DOTARI 2024'!E33</f>
        <v>1</v>
      </c>
      <c r="E127" s="45">
        <f>'A3 BIS - DOTARI 2024'!F33</f>
        <v>0</v>
      </c>
      <c r="F127" s="45">
        <f>'A3 BIS - DOTARI 2024'!G33</f>
        <v>1</v>
      </c>
      <c r="G127" s="45">
        <f>'A3 BIS - DOTARI 2024'!H33</f>
        <v>1</v>
      </c>
      <c r="H127" s="45">
        <f>'A3 BIS - DOTARI 2024'!I33</f>
        <v>0</v>
      </c>
      <c r="I127" s="45">
        <f>'A3 BIS - DOTARI 2024'!J33</f>
        <v>1</v>
      </c>
      <c r="J127" s="45">
        <f>'A3 BIS - DOTARI 2024'!K33</f>
        <v>0</v>
      </c>
      <c r="K127" s="45">
        <f>'A3 BIS - DOTARI 2024'!L33</f>
        <v>0</v>
      </c>
      <c r="L127" s="45">
        <f>'A3 BIS - DOTARI 2024'!M33</f>
        <v>0</v>
      </c>
      <c r="M127" s="45">
        <f>'A3 BIS - DOTARI 2024'!N33</f>
        <v>0</v>
      </c>
      <c r="N127" s="55"/>
    </row>
    <row r="128" spans="1:14" s="7" customFormat="1" ht="19.5" customHeight="1">
      <c r="A128" s="44"/>
      <c r="B128" s="137" t="s">
        <v>130</v>
      </c>
      <c r="C128" s="45">
        <f>'A3 BIS ALTE CHELTUIELI 2024'!D27</f>
        <v>0</v>
      </c>
      <c r="D128" s="45">
        <f>'A3 BIS ALTE CHELTUIELI 2024'!E27</f>
        <v>0</v>
      </c>
      <c r="E128" s="45">
        <f>'A3 BIS ALTE CHELTUIELI 2024'!F27</f>
        <v>0</v>
      </c>
      <c r="F128" s="45">
        <f>'A3 BIS ALTE CHELTUIELI 2024'!G27</f>
        <v>0</v>
      </c>
      <c r="G128" s="45">
        <f>'A3 BIS ALTE CHELTUIELI 2024'!H27</f>
        <v>0</v>
      </c>
      <c r="H128" s="45">
        <f>'A3 BIS ALTE CHELTUIELI 2024'!I27</f>
        <v>0</v>
      </c>
      <c r="I128" s="45">
        <f>'A3 BIS ALTE CHELTUIELI 2024'!J27</f>
        <v>0</v>
      </c>
      <c r="J128" s="45">
        <f>'A3 BIS ALTE CHELTUIELI 2024'!K27</f>
        <v>0</v>
      </c>
      <c r="K128" s="45">
        <f>'A3 BIS ALTE CHELTUIELI 2024'!L27</f>
        <v>0</v>
      </c>
      <c r="L128" s="45">
        <f>'A3 BIS ALTE CHELTUIELI 2024'!M27</f>
        <v>0</v>
      </c>
      <c r="M128" s="45">
        <f>'A3 BIS ALTE CHELTUIELI 2024'!N27</f>
        <v>0</v>
      </c>
      <c r="N128" s="55"/>
    </row>
    <row r="129" spans="1:14" s="7" customFormat="1" ht="15" customHeight="1">
      <c r="A129" s="44"/>
      <c r="B129" s="137"/>
      <c r="C129" s="45"/>
      <c r="D129" s="45"/>
      <c r="E129" s="45"/>
      <c r="F129" s="45"/>
      <c r="G129" s="45"/>
      <c r="H129" s="45"/>
      <c r="I129" s="45"/>
      <c r="J129" s="45"/>
      <c r="K129" s="45"/>
      <c r="L129" s="45"/>
      <c r="M129" s="45"/>
      <c r="N129" s="55"/>
    </row>
    <row r="130" spans="1:14" s="7" customFormat="1" ht="12" customHeight="1">
      <c r="A130" s="44"/>
      <c r="B130" s="137"/>
      <c r="C130" s="45"/>
      <c r="D130" s="45"/>
      <c r="E130" s="45"/>
      <c r="F130" s="45"/>
      <c r="G130" s="45"/>
      <c r="H130" s="45"/>
      <c r="I130" s="45"/>
      <c r="J130" s="45"/>
      <c r="K130" s="45"/>
      <c r="L130" s="45"/>
      <c r="M130" s="45"/>
      <c r="N130" s="55"/>
    </row>
    <row r="131" spans="1:14" s="7" customFormat="1" ht="26.25" customHeight="1">
      <c r="A131" s="12"/>
      <c r="B131" s="144" t="s">
        <v>131</v>
      </c>
      <c r="C131" s="13" t="s">
        <v>132</v>
      </c>
      <c r="D131" s="14"/>
      <c r="E131" s="14"/>
      <c r="F131" s="14"/>
      <c r="G131" s="46"/>
      <c r="H131" s="46"/>
      <c r="I131" s="46"/>
      <c r="J131" s="46"/>
      <c r="K131" s="46"/>
      <c r="L131" s="46"/>
      <c r="M131" s="1" t="s">
        <v>41</v>
      </c>
      <c r="N131" s="55"/>
    </row>
    <row r="132" spans="1:14" s="7" customFormat="1" ht="20.25" customHeight="1">
      <c r="A132" s="15"/>
      <c r="B132" s="16" t="s">
        <v>42</v>
      </c>
      <c r="C132" s="17">
        <f>C135+C141+C147</f>
        <v>4866</v>
      </c>
      <c r="D132" s="17">
        <f t="shared" ref="D132:M132" si="26">D135+D141+D147</f>
        <v>21976</v>
      </c>
      <c r="E132" s="17">
        <f t="shared" si="26"/>
        <v>6544</v>
      </c>
      <c r="F132" s="17">
        <f t="shared" si="26"/>
        <v>15432</v>
      </c>
      <c r="G132" s="17">
        <f t="shared" si="26"/>
        <v>5955</v>
      </c>
      <c r="H132" s="17">
        <f t="shared" si="26"/>
        <v>0</v>
      </c>
      <c r="I132" s="17">
        <f t="shared" si="26"/>
        <v>5955</v>
      </c>
      <c r="J132" s="17">
        <f t="shared" si="26"/>
        <v>0</v>
      </c>
      <c r="K132" s="17">
        <f t="shared" si="26"/>
        <v>0</v>
      </c>
      <c r="L132" s="17">
        <f t="shared" si="26"/>
        <v>0</v>
      </c>
      <c r="M132" s="17">
        <f t="shared" si="26"/>
        <v>0</v>
      </c>
      <c r="N132" s="55"/>
    </row>
    <row r="133" spans="1:14" s="7" customFormat="1" ht="20.25" customHeight="1">
      <c r="A133" s="18"/>
      <c r="B133" s="16"/>
      <c r="C133" s="17">
        <f>C136+C142+C148</f>
        <v>3166</v>
      </c>
      <c r="D133" s="17">
        <f t="shared" ref="D133:M133" si="27">D136+D142+D148</f>
        <v>10472</v>
      </c>
      <c r="E133" s="17">
        <f t="shared" si="27"/>
        <v>5672</v>
      </c>
      <c r="F133" s="17">
        <f t="shared" si="27"/>
        <v>4800</v>
      </c>
      <c r="G133" s="17">
        <f t="shared" si="27"/>
        <v>3938</v>
      </c>
      <c r="H133" s="17">
        <f t="shared" si="27"/>
        <v>0</v>
      </c>
      <c r="I133" s="17">
        <f t="shared" si="27"/>
        <v>3938</v>
      </c>
      <c r="J133" s="17">
        <f t="shared" si="27"/>
        <v>0</v>
      </c>
      <c r="K133" s="17">
        <f t="shared" si="27"/>
        <v>0</v>
      </c>
      <c r="L133" s="17">
        <f t="shared" si="27"/>
        <v>0</v>
      </c>
      <c r="M133" s="17">
        <f t="shared" si="27"/>
        <v>0</v>
      </c>
      <c r="N133" s="55"/>
    </row>
    <row r="134" spans="1:14" s="7" customFormat="1" ht="12" customHeight="1">
      <c r="A134" s="12"/>
      <c r="B134" s="129"/>
      <c r="C134" s="1"/>
      <c r="D134" s="1"/>
      <c r="E134" s="1"/>
      <c r="F134" s="1"/>
      <c r="G134" s="46"/>
      <c r="H134" s="46"/>
      <c r="I134" s="46"/>
      <c r="J134" s="46"/>
      <c r="K134" s="46"/>
      <c r="L134" s="46"/>
      <c r="M134" s="1"/>
      <c r="N134" s="55"/>
    </row>
    <row r="135" spans="1:14" s="7" customFormat="1" ht="20.25" customHeight="1">
      <c r="A135" s="18" t="s">
        <v>32</v>
      </c>
      <c r="B135" s="34" t="s">
        <v>33</v>
      </c>
      <c r="C135" s="2">
        <f>C138</f>
        <v>4864</v>
      </c>
      <c r="D135" s="2">
        <f t="shared" ref="D135:M136" si="28">D138</f>
        <v>21974</v>
      </c>
      <c r="E135" s="2">
        <f t="shared" si="28"/>
        <v>6544</v>
      </c>
      <c r="F135" s="2">
        <f t="shared" si="28"/>
        <v>15430</v>
      </c>
      <c r="G135" s="17">
        <f t="shared" si="28"/>
        <v>5953</v>
      </c>
      <c r="H135" s="2">
        <f t="shared" si="28"/>
        <v>0</v>
      </c>
      <c r="I135" s="2">
        <f t="shared" si="28"/>
        <v>5953</v>
      </c>
      <c r="J135" s="2">
        <f t="shared" si="28"/>
        <v>0</v>
      </c>
      <c r="K135" s="2">
        <f t="shared" si="28"/>
        <v>0</v>
      </c>
      <c r="L135" s="2">
        <f t="shared" si="28"/>
        <v>0</v>
      </c>
      <c r="M135" s="2">
        <f t="shared" si="28"/>
        <v>0</v>
      </c>
      <c r="N135" s="55"/>
    </row>
    <row r="136" spans="1:14" s="7" customFormat="1" ht="20.25" customHeight="1">
      <c r="A136" s="18"/>
      <c r="B136" s="35" t="s">
        <v>34</v>
      </c>
      <c r="C136" s="2">
        <f>C139</f>
        <v>3166</v>
      </c>
      <c r="D136" s="2">
        <f t="shared" si="28"/>
        <v>10472</v>
      </c>
      <c r="E136" s="2">
        <f t="shared" si="28"/>
        <v>5672</v>
      </c>
      <c r="F136" s="2">
        <f t="shared" si="28"/>
        <v>4800</v>
      </c>
      <c r="G136" s="17">
        <f t="shared" si="28"/>
        <v>3938</v>
      </c>
      <c r="H136" s="2">
        <f t="shared" si="28"/>
        <v>0</v>
      </c>
      <c r="I136" s="2">
        <f t="shared" si="28"/>
        <v>3938</v>
      </c>
      <c r="J136" s="2">
        <f t="shared" si="28"/>
        <v>0</v>
      </c>
      <c r="K136" s="2">
        <f t="shared" si="28"/>
        <v>0</v>
      </c>
      <c r="L136" s="2">
        <f t="shared" si="28"/>
        <v>0</v>
      </c>
      <c r="M136" s="2">
        <f t="shared" si="28"/>
        <v>0</v>
      </c>
      <c r="N136" s="55"/>
    </row>
    <row r="137" spans="1:14" s="7" customFormat="1" ht="13.5" customHeight="1">
      <c r="A137" s="18"/>
      <c r="B137" s="32"/>
      <c r="C137" s="1"/>
      <c r="D137" s="1"/>
      <c r="E137" s="1"/>
      <c r="F137" s="1"/>
      <c r="G137" s="46"/>
      <c r="H137" s="1"/>
      <c r="I137" s="1"/>
      <c r="J137" s="1"/>
      <c r="K137" s="1"/>
      <c r="L137" s="1"/>
      <c r="M137" s="1"/>
      <c r="N137" s="55"/>
    </row>
    <row r="138" spans="1:14" s="7" customFormat="1" ht="42.75">
      <c r="A138" s="50">
        <v>1</v>
      </c>
      <c r="B138" s="192" t="s">
        <v>580</v>
      </c>
      <c r="C138" s="356">
        <v>4864</v>
      </c>
      <c r="D138" s="356">
        <f>15500+6474</f>
        <v>21974</v>
      </c>
      <c r="E138" s="356">
        <f>174+3500+6474-3604</f>
        <v>6544</v>
      </c>
      <c r="F138" s="2">
        <f>D138-E138</f>
        <v>15430</v>
      </c>
      <c r="G138" s="58">
        <f>SUM(H138:M138)</f>
        <v>5953</v>
      </c>
      <c r="H138" s="51"/>
      <c r="I138" s="51">
        <f>5760+193</f>
        <v>5953</v>
      </c>
      <c r="J138" s="51"/>
      <c r="K138" s="51"/>
      <c r="L138" s="51">
        <v>0</v>
      </c>
      <c r="M138" s="51">
        <v>0</v>
      </c>
      <c r="N138" s="22" t="s">
        <v>45</v>
      </c>
    </row>
    <row r="139" spans="1:14" s="7" customFormat="1" ht="23.25" customHeight="1">
      <c r="A139" s="50"/>
      <c r="B139" s="161" t="s">
        <v>134</v>
      </c>
      <c r="C139" s="51">
        <v>3166</v>
      </c>
      <c r="D139" s="51">
        <f>4800+5672</f>
        <v>10472</v>
      </c>
      <c r="E139" s="51">
        <f>162+3400+5672-3562</f>
        <v>5672</v>
      </c>
      <c r="F139" s="2">
        <f>D139-E139</f>
        <v>4800</v>
      </c>
      <c r="G139" s="58">
        <f>SUM(H139:M139)</f>
        <v>3938</v>
      </c>
      <c r="H139" s="51"/>
      <c r="I139" s="51">
        <f>3920+18</f>
        <v>3938</v>
      </c>
      <c r="J139" s="51"/>
      <c r="K139" s="51"/>
      <c r="L139" s="51">
        <v>0</v>
      </c>
      <c r="M139" s="51">
        <v>0</v>
      </c>
      <c r="N139" s="22"/>
    </row>
    <row r="140" spans="1:14" s="7" customFormat="1" ht="15.75" customHeight="1">
      <c r="A140" s="18"/>
      <c r="B140" s="129"/>
      <c r="C140" s="1"/>
      <c r="D140" s="1"/>
      <c r="E140" s="1"/>
      <c r="F140" s="1"/>
      <c r="G140" s="46"/>
      <c r="H140" s="1"/>
      <c r="I140" s="1"/>
      <c r="J140" s="1"/>
      <c r="K140" s="1"/>
      <c r="L140" s="1"/>
      <c r="M140" s="1"/>
      <c r="N140" s="55"/>
    </row>
    <row r="141" spans="1:14" s="7" customFormat="1" ht="20.25" customHeight="1">
      <c r="A141" s="18" t="s">
        <v>35</v>
      </c>
      <c r="B141" s="34" t="s">
        <v>43</v>
      </c>
      <c r="C141" s="2">
        <f>C144</f>
        <v>0</v>
      </c>
      <c r="D141" s="2">
        <f t="shared" ref="D141:M141" si="29">D144</f>
        <v>0</v>
      </c>
      <c r="E141" s="2">
        <f t="shared" si="29"/>
        <v>0</v>
      </c>
      <c r="F141" s="2">
        <f t="shared" si="29"/>
        <v>0</v>
      </c>
      <c r="G141" s="2">
        <f t="shared" si="29"/>
        <v>0</v>
      </c>
      <c r="H141" s="2">
        <f t="shared" si="29"/>
        <v>0</v>
      </c>
      <c r="I141" s="2">
        <f t="shared" si="29"/>
        <v>0</v>
      </c>
      <c r="J141" s="2">
        <f t="shared" si="29"/>
        <v>0</v>
      </c>
      <c r="K141" s="2">
        <f t="shared" si="29"/>
        <v>0</v>
      </c>
      <c r="L141" s="2">
        <f t="shared" si="29"/>
        <v>0</v>
      </c>
      <c r="M141" s="2">
        <f t="shared" si="29"/>
        <v>0</v>
      </c>
      <c r="N141" s="55"/>
    </row>
    <row r="142" spans="1:14" s="7" customFormat="1" ht="20.25" customHeight="1">
      <c r="A142" s="18"/>
      <c r="B142" s="35" t="s">
        <v>36</v>
      </c>
      <c r="C142" s="2">
        <f>C145</f>
        <v>0</v>
      </c>
      <c r="D142" s="2">
        <f t="shared" ref="D142:M142" si="30">D145</f>
        <v>0</v>
      </c>
      <c r="E142" s="2">
        <f t="shared" si="30"/>
        <v>0</v>
      </c>
      <c r="F142" s="2">
        <f t="shared" si="30"/>
        <v>0</v>
      </c>
      <c r="G142" s="2">
        <f t="shared" si="30"/>
        <v>0</v>
      </c>
      <c r="H142" s="2">
        <f t="shared" si="30"/>
        <v>0</v>
      </c>
      <c r="I142" s="2">
        <f t="shared" si="30"/>
        <v>0</v>
      </c>
      <c r="J142" s="2">
        <f t="shared" si="30"/>
        <v>0</v>
      </c>
      <c r="K142" s="2">
        <f t="shared" si="30"/>
        <v>0</v>
      </c>
      <c r="L142" s="2">
        <f t="shared" si="30"/>
        <v>0</v>
      </c>
      <c r="M142" s="2">
        <f t="shared" si="30"/>
        <v>0</v>
      </c>
      <c r="N142" s="55"/>
    </row>
    <row r="143" spans="1:14" s="7" customFormat="1" ht="13.5" customHeight="1">
      <c r="A143" s="18"/>
      <c r="B143" s="32"/>
      <c r="C143" s="1"/>
      <c r="D143" s="1"/>
      <c r="E143" s="1"/>
      <c r="F143" s="1"/>
      <c r="G143" s="46"/>
      <c r="H143" s="1"/>
      <c r="I143" s="1"/>
      <c r="J143" s="1"/>
      <c r="K143" s="1"/>
      <c r="L143" s="1"/>
      <c r="M143" s="1"/>
      <c r="N143" s="55"/>
    </row>
    <row r="144" spans="1:14" s="7" customFormat="1" ht="15.75">
      <c r="A144" s="50">
        <v>1</v>
      </c>
      <c r="B144" s="192"/>
      <c r="C144" s="356">
        <v>0</v>
      </c>
      <c r="D144" s="356">
        <f>C144</f>
        <v>0</v>
      </c>
      <c r="E144" s="356">
        <v>0</v>
      </c>
      <c r="F144" s="2">
        <f>D144-E144</f>
        <v>0</v>
      </c>
      <c r="G144" s="58">
        <f>SUM(H144:M144)</f>
        <v>0</v>
      </c>
      <c r="H144" s="51"/>
      <c r="I144" s="51"/>
      <c r="J144" s="51">
        <v>0</v>
      </c>
      <c r="K144" s="51"/>
      <c r="L144" s="51">
        <v>0</v>
      </c>
      <c r="M144" s="51">
        <v>0</v>
      </c>
      <c r="N144" s="22" t="s">
        <v>45</v>
      </c>
    </row>
    <row r="145" spans="1:14" s="7" customFormat="1" ht="18.75" customHeight="1">
      <c r="A145" s="50"/>
      <c r="B145" s="161"/>
      <c r="C145" s="51">
        <v>0</v>
      </c>
      <c r="D145" s="51">
        <f>C145</f>
        <v>0</v>
      </c>
      <c r="E145" s="51">
        <v>0</v>
      </c>
      <c r="F145" s="2">
        <f>D145-E145</f>
        <v>0</v>
      </c>
      <c r="G145" s="58">
        <f>SUM(H145:M145)</f>
        <v>0</v>
      </c>
      <c r="H145" s="51"/>
      <c r="I145" s="51"/>
      <c r="J145" s="51">
        <v>0</v>
      </c>
      <c r="K145" s="51"/>
      <c r="L145" s="51">
        <v>0</v>
      </c>
      <c r="M145" s="51">
        <v>0</v>
      </c>
      <c r="N145" s="22"/>
    </row>
    <row r="146" spans="1:14" s="7" customFormat="1" ht="16.5" customHeight="1">
      <c r="A146" s="50"/>
      <c r="B146" s="161"/>
      <c r="C146" s="52"/>
      <c r="D146" s="52"/>
      <c r="E146" s="52"/>
      <c r="F146" s="1"/>
      <c r="G146" s="202"/>
      <c r="H146" s="52"/>
      <c r="I146" s="52"/>
      <c r="J146" s="52"/>
      <c r="K146" s="52"/>
      <c r="L146" s="52"/>
      <c r="M146" s="52"/>
      <c r="N146" s="22"/>
    </row>
    <row r="147" spans="1:14" s="7" customFormat="1" ht="16.5" customHeight="1">
      <c r="A147" s="18" t="s">
        <v>37</v>
      </c>
      <c r="B147" s="34" t="s">
        <v>60</v>
      </c>
      <c r="C147" s="2">
        <f>C150+C151+C152</f>
        <v>2</v>
      </c>
      <c r="D147" s="2">
        <f t="shared" ref="D147:M147" si="31">D150+D151+D152</f>
        <v>2</v>
      </c>
      <c r="E147" s="2">
        <f t="shared" si="31"/>
        <v>0</v>
      </c>
      <c r="F147" s="2">
        <f t="shared" si="31"/>
        <v>2</v>
      </c>
      <c r="G147" s="17">
        <f t="shared" si="31"/>
        <v>2</v>
      </c>
      <c r="H147" s="2">
        <f t="shared" si="31"/>
        <v>0</v>
      </c>
      <c r="I147" s="2">
        <f t="shared" si="31"/>
        <v>2</v>
      </c>
      <c r="J147" s="2">
        <f t="shared" si="31"/>
        <v>0</v>
      </c>
      <c r="K147" s="2">
        <f t="shared" si="31"/>
        <v>0</v>
      </c>
      <c r="L147" s="2">
        <f t="shared" si="31"/>
        <v>0</v>
      </c>
      <c r="M147" s="2">
        <f t="shared" si="31"/>
        <v>0</v>
      </c>
      <c r="N147" s="22"/>
    </row>
    <row r="148" spans="1:14" s="7" customFormat="1" ht="16.5" customHeight="1">
      <c r="A148" s="18"/>
      <c r="B148" s="35" t="s">
        <v>61</v>
      </c>
      <c r="C148" s="2"/>
      <c r="D148" s="2"/>
      <c r="E148" s="2"/>
      <c r="F148" s="2"/>
      <c r="G148" s="17"/>
      <c r="H148" s="2"/>
      <c r="I148" s="2"/>
      <c r="J148" s="2"/>
      <c r="K148" s="2"/>
      <c r="L148" s="2"/>
      <c r="M148" s="2"/>
      <c r="N148" s="22"/>
    </row>
    <row r="149" spans="1:14" s="7" customFormat="1" ht="17.25" customHeight="1">
      <c r="A149" s="12"/>
      <c r="B149" s="16" t="s">
        <v>42</v>
      </c>
      <c r="C149" s="1"/>
      <c r="D149" s="1"/>
      <c r="E149" s="1"/>
      <c r="F149" s="1"/>
      <c r="G149" s="46"/>
      <c r="H149" s="1"/>
      <c r="I149" s="1"/>
      <c r="J149" s="1"/>
      <c r="K149" s="1"/>
      <c r="L149" s="1"/>
      <c r="M149" s="1"/>
      <c r="N149" s="22"/>
    </row>
    <row r="150" spans="1:14" s="7" customFormat="1" ht="16.5" customHeight="1">
      <c r="A150" s="43"/>
      <c r="B150" s="23" t="s">
        <v>62</v>
      </c>
      <c r="C150" s="63">
        <f>'A3BIS - STUDII SI PROIECTE 2024'!D34</f>
        <v>1</v>
      </c>
      <c r="D150" s="63">
        <f>'A3BIS - STUDII SI PROIECTE 2024'!E34</f>
        <v>1</v>
      </c>
      <c r="E150" s="63">
        <f>'A3BIS - STUDII SI PROIECTE 2024'!F34</f>
        <v>0</v>
      </c>
      <c r="F150" s="63">
        <f>'A3BIS - STUDII SI PROIECTE 2024'!G34</f>
        <v>1</v>
      </c>
      <c r="G150" s="63">
        <f>'A3BIS - STUDII SI PROIECTE 2024'!H34</f>
        <v>1</v>
      </c>
      <c r="H150" s="63">
        <f>'A3BIS - STUDII SI PROIECTE 2024'!I34</f>
        <v>0</v>
      </c>
      <c r="I150" s="63">
        <f>'A3BIS - STUDII SI PROIECTE 2024'!J34</f>
        <v>1</v>
      </c>
      <c r="J150" s="63">
        <f>'A3BIS - STUDII SI PROIECTE 2024'!K34</f>
        <v>0</v>
      </c>
      <c r="K150" s="63">
        <f>'A3BIS - STUDII SI PROIECTE 2024'!L34</f>
        <v>0</v>
      </c>
      <c r="L150" s="63">
        <f>'A3BIS - STUDII SI PROIECTE 2024'!M34</f>
        <v>0</v>
      </c>
      <c r="M150" s="63">
        <f>'A3BIS - STUDII SI PROIECTE 2024'!N34</f>
        <v>0</v>
      </c>
      <c r="N150" s="22"/>
    </row>
    <row r="151" spans="1:14" s="7" customFormat="1" ht="16.5" customHeight="1">
      <c r="A151" s="43"/>
      <c r="B151" s="23" t="s">
        <v>155</v>
      </c>
      <c r="C151" s="1">
        <f>'A3 BIS - DOTARI 2024'!D40</f>
        <v>1</v>
      </c>
      <c r="D151" s="1">
        <f>'A3 BIS - DOTARI 2024'!E40</f>
        <v>1</v>
      </c>
      <c r="E151" s="1">
        <f>'A3 BIS - DOTARI 2024'!F40</f>
        <v>0</v>
      </c>
      <c r="F151" s="1">
        <f>'A3 BIS - DOTARI 2024'!G40</f>
        <v>1</v>
      </c>
      <c r="G151" s="1">
        <f>'A3 BIS - DOTARI 2024'!H40</f>
        <v>1</v>
      </c>
      <c r="H151" s="1">
        <f>'A3 BIS - DOTARI 2024'!I40</f>
        <v>0</v>
      </c>
      <c r="I151" s="1">
        <f>'A3 BIS - DOTARI 2024'!J40</f>
        <v>1</v>
      </c>
      <c r="J151" s="1">
        <f>'A3 BIS - DOTARI 2024'!K40</f>
        <v>0</v>
      </c>
      <c r="K151" s="1">
        <f>'A3 BIS - DOTARI 2024'!L40</f>
        <v>0</v>
      </c>
      <c r="L151" s="1">
        <f>'A3 BIS - DOTARI 2024'!M40</f>
        <v>0</v>
      </c>
      <c r="M151" s="1">
        <f>'A3 BIS - DOTARI 2024'!N40</f>
        <v>0</v>
      </c>
      <c r="N151" s="22"/>
    </row>
    <row r="152" spans="1:14" s="7" customFormat="1" ht="16.5" customHeight="1">
      <c r="A152" s="43"/>
      <c r="B152" s="23" t="s">
        <v>130</v>
      </c>
      <c r="C152" s="1">
        <f>'A3 BIS ALTE CHELTUIELI 2024'!D32</f>
        <v>0</v>
      </c>
      <c r="D152" s="1">
        <f>'A3 BIS ALTE CHELTUIELI 2024'!E32</f>
        <v>0</v>
      </c>
      <c r="E152" s="1">
        <f>'A3 BIS ALTE CHELTUIELI 2024'!F32</f>
        <v>0</v>
      </c>
      <c r="F152" s="1">
        <f>'A3 BIS ALTE CHELTUIELI 2024'!G32</f>
        <v>0</v>
      </c>
      <c r="G152" s="1">
        <f>'A3 BIS ALTE CHELTUIELI 2024'!H32</f>
        <v>0</v>
      </c>
      <c r="H152" s="1">
        <f>'A3 BIS ALTE CHELTUIELI 2024'!I32</f>
        <v>0</v>
      </c>
      <c r="I152" s="1">
        <f>'A3 BIS ALTE CHELTUIELI 2024'!J32</f>
        <v>0</v>
      </c>
      <c r="J152" s="1">
        <f>'A3 BIS ALTE CHELTUIELI 2024'!K32</f>
        <v>0</v>
      </c>
      <c r="K152" s="1">
        <f>'A3 BIS ALTE CHELTUIELI 2024'!L32</f>
        <v>0</v>
      </c>
      <c r="L152" s="1">
        <f>'A3 BIS ALTE CHELTUIELI 2024'!M32</f>
        <v>0</v>
      </c>
      <c r="M152" s="1">
        <f>'A3 BIS ALTE CHELTUIELI 2024'!N32</f>
        <v>0</v>
      </c>
      <c r="N152" s="22"/>
    </row>
    <row r="153" spans="1:14" s="7" customFormat="1" ht="16.5" customHeight="1">
      <c r="A153" s="43"/>
      <c r="B153" s="23"/>
      <c r="C153" s="1"/>
      <c r="D153" s="1"/>
      <c r="E153" s="1"/>
      <c r="F153" s="1"/>
      <c r="G153" s="46"/>
      <c r="H153" s="1"/>
      <c r="I153" s="1"/>
      <c r="J153" s="1"/>
      <c r="K153" s="1"/>
      <c r="L153" s="1"/>
      <c r="M153" s="1"/>
      <c r="N153" s="22"/>
    </row>
    <row r="154" spans="1:14" s="7" customFormat="1" ht="16.5" hidden="1" customHeight="1">
      <c r="A154" s="43"/>
      <c r="B154" s="23"/>
      <c r="C154" s="1"/>
      <c r="D154" s="1"/>
      <c r="E154" s="1"/>
      <c r="F154" s="1"/>
      <c r="G154" s="46"/>
      <c r="H154" s="1"/>
      <c r="I154" s="1"/>
      <c r="J154" s="1"/>
      <c r="K154" s="1"/>
      <c r="L154" s="1"/>
      <c r="M154" s="1"/>
      <c r="N154" s="22"/>
    </row>
    <row r="155" spans="1:14" s="11" customFormat="1" ht="24.75" hidden="1" customHeight="1">
      <c r="A155" s="12"/>
      <c r="B155" s="144" t="s">
        <v>156</v>
      </c>
      <c r="C155" s="13" t="s">
        <v>157</v>
      </c>
      <c r="D155" s="14"/>
      <c r="E155" s="14"/>
      <c r="F155" s="14"/>
      <c r="G155" s="46"/>
      <c r="H155" s="46"/>
      <c r="I155" s="46"/>
      <c r="J155" s="46"/>
      <c r="K155" s="46"/>
      <c r="L155" s="46"/>
      <c r="M155" s="1" t="s">
        <v>41</v>
      </c>
      <c r="N155" s="24"/>
    </row>
    <row r="156" spans="1:14" s="41" customFormat="1" ht="20.25" hidden="1" customHeight="1">
      <c r="A156" s="15"/>
      <c r="B156" s="16" t="s">
        <v>42</v>
      </c>
      <c r="C156" s="17">
        <f t="shared" ref="C156:M157" si="32">C159+C162+C167</f>
        <v>0</v>
      </c>
      <c r="D156" s="17">
        <f t="shared" si="32"/>
        <v>0</v>
      </c>
      <c r="E156" s="17">
        <f t="shared" si="32"/>
        <v>0</v>
      </c>
      <c r="F156" s="17">
        <f t="shared" si="32"/>
        <v>0</v>
      </c>
      <c r="G156" s="17">
        <f t="shared" si="32"/>
        <v>0</v>
      </c>
      <c r="H156" s="17">
        <f t="shared" si="32"/>
        <v>0</v>
      </c>
      <c r="I156" s="17">
        <f t="shared" si="32"/>
        <v>0</v>
      </c>
      <c r="J156" s="17">
        <f t="shared" si="32"/>
        <v>0</v>
      </c>
      <c r="K156" s="17">
        <f t="shared" si="32"/>
        <v>0</v>
      </c>
      <c r="L156" s="17">
        <f t="shared" si="32"/>
        <v>0</v>
      </c>
      <c r="M156" s="17">
        <f t="shared" si="32"/>
        <v>0</v>
      </c>
      <c r="N156" s="22"/>
    </row>
    <row r="157" spans="1:14" s="41" customFormat="1" ht="20.25" hidden="1" customHeight="1">
      <c r="A157" s="18"/>
      <c r="B157" s="16"/>
      <c r="C157" s="17">
        <f t="shared" si="32"/>
        <v>0</v>
      </c>
      <c r="D157" s="17">
        <f t="shared" si="32"/>
        <v>0</v>
      </c>
      <c r="E157" s="17">
        <f t="shared" si="32"/>
        <v>0</v>
      </c>
      <c r="F157" s="17">
        <f t="shared" si="32"/>
        <v>0</v>
      </c>
      <c r="G157" s="17">
        <f t="shared" si="32"/>
        <v>0</v>
      </c>
      <c r="H157" s="17">
        <f t="shared" si="32"/>
        <v>0</v>
      </c>
      <c r="I157" s="17">
        <f t="shared" si="32"/>
        <v>0</v>
      </c>
      <c r="J157" s="17">
        <f t="shared" si="32"/>
        <v>0</v>
      </c>
      <c r="K157" s="17">
        <f t="shared" si="32"/>
        <v>0</v>
      </c>
      <c r="L157" s="17">
        <f t="shared" si="32"/>
        <v>0</v>
      </c>
      <c r="M157" s="17">
        <f t="shared" si="32"/>
        <v>0</v>
      </c>
      <c r="N157" s="22"/>
    </row>
    <row r="158" spans="1:14" s="41" customFormat="1" ht="20.25" hidden="1" customHeight="1">
      <c r="A158" s="12"/>
      <c r="B158" s="129"/>
      <c r="C158" s="1"/>
      <c r="D158" s="1"/>
      <c r="E158" s="1"/>
      <c r="F158" s="1"/>
      <c r="G158" s="46"/>
      <c r="H158" s="46"/>
      <c r="I158" s="46"/>
      <c r="J158" s="46"/>
      <c r="K158" s="46"/>
      <c r="L158" s="46"/>
      <c r="M158" s="46"/>
      <c r="N158" s="22"/>
    </row>
    <row r="159" spans="1:14" s="11" customFormat="1" ht="20.25" hidden="1" customHeight="1">
      <c r="A159" s="18" t="s">
        <v>32</v>
      </c>
      <c r="B159" s="34" t="s">
        <v>33</v>
      </c>
      <c r="C159" s="2">
        <v>0</v>
      </c>
      <c r="D159" s="2">
        <v>0</v>
      </c>
      <c r="E159" s="2">
        <v>0</v>
      </c>
      <c r="F159" s="2">
        <v>0</v>
      </c>
      <c r="G159" s="17">
        <v>0</v>
      </c>
      <c r="H159" s="2">
        <v>0</v>
      </c>
      <c r="I159" s="2">
        <v>0</v>
      </c>
      <c r="J159" s="2">
        <v>0</v>
      </c>
      <c r="K159" s="2">
        <v>0</v>
      </c>
      <c r="L159" s="2">
        <v>0</v>
      </c>
      <c r="M159" s="2">
        <v>0</v>
      </c>
      <c r="N159" s="24"/>
    </row>
    <row r="160" spans="1:14" s="11" customFormat="1" ht="20.25" hidden="1" customHeight="1">
      <c r="A160" s="18"/>
      <c r="B160" s="35" t="s">
        <v>34</v>
      </c>
      <c r="C160" s="2">
        <v>0</v>
      </c>
      <c r="D160" s="2">
        <v>0</v>
      </c>
      <c r="E160" s="2">
        <v>0</v>
      </c>
      <c r="F160" s="2">
        <v>0</v>
      </c>
      <c r="G160" s="17">
        <v>0</v>
      </c>
      <c r="H160" s="2">
        <v>0</v>
      </c>
      <c r="I160" s="2">
        <v>0</v>
      </c>
      <c r="J160" s="2">
        <v>0</v>
      </c>
      <c r="K160" s="2">
        <v>0</v>
      </c>
      <c r="L160" s="2">
        <v>0</v>
      </c>
      <c r="M160" s="2">
        <v>0</v>
      </c>
      <c r="N160" s="24"/>
    </row>
    <row r="161" spans="1:14" s="11" customFormat="1" ht="20.25" hidden="1" customHeight="1">
      <c r="A161" s="18"/>
      <c r="B161" s="32"/>
      <c r="C161" s="1"/>
      <c r="D161" s="1"/>
      <c r="E161" s="1"/>
      <c r="F161" s="1"/>
      <c r="G161" s="46"/>
      <c r="H161" s="1"/>
      <c r="I161" s="1"/>
      <c r="J161" s="1"/>
      <c r="K161" s="1"/>
      <c r="L161" s="1"/>
      <c r="M161" s="1"/>
      <c r="N161" s="24"/>
    </row>
    <row r="162" spans="1:14" s="41" customFormat="1" ht="20.25" hidden="1" customHeight="1">
      <c r="A162" s="18" t="s">
        <v>35</v>
      </c>
      <c r="B162" s="34" t="s">
        <v>43</v>
      </c>
      <c r="C162" s="2">
        <v>0</v>
      </c>
      <c r="D162" s="2">
        <v>0</v>
      </c>
      <c r="E162" s="2">
        <v>0</v>
      </c>
      <c r="F162" s="2">
        <v>0</v>
      </c>
      <c r="G162" s="17">
        <v>0</v>
      </c>
      <c r="H162" s="2">
        <v>0</v>
      </c>
      <c r="I162" s="2">
        <v>0</v>
      </c>
      <c r="J162" s="2">
        <v>0</v>
      </c>
      <c r="K162" s="2">
        <v>0</v>
      </c>
      <c r="L162" s="2">
        <v>0</v>
      </c>
      <c r="M162" s="2">
        <v>0</v>
      </c>
      <c r="N162" s="22"/>
    </row>
    <row r="163" spans="1:14" s="41" customFormat="1" ht="20.25" hidden="1" customHeight="1">
      <c r="A163" s="18"/>
      <c r="B163" s="35" t="s">
        <v>36</v>
      </c>
      <c r="C163" s="2">
        <v>0</v>
      </c>
      <c r="D163" s="2">
        <v>0</v>
      </c>
      <c r="E163" s="2">
        <v>0</v>
      </c>
      <c r="F163" s="2">
        <v>0</v>
      </c>
      <c r="G163" s="17">
        <v>0</v>
      </c>
      <c r="H163" s="2">
        <v>0</v>
      </c>
      <c r="I163" s="2">
        <v>0</v>
      </c>
      <c r="J163" s="2">
        <v>0</v>
      </c>
      <c r="K163" s="2">
        <v>0</v>
      </c>
      <c r="L163" s="2">
        <v>0</v>
      </c>
      <c r="M163" s="2">
        <v>0</v>
      </c>
      <c r="N163" s="22"/>
    </row>
    <row r="164" spans="1:14" s="41" customFormat="1" ht="20.25" hidden="1" customHeight="1">
      <c r="A164" s="18"/>
      <c r="B164" s="16" t="s">
        <v>42</v>
      </c>
      <c r="C164" s="1"/>
      <c r="D164" s="1"/>
      <c r="E164" s="1"/>
      <c r="F164" s="1"/>
      <c r="G164" s="46"/>
      <c r="H164" s="1"/>
      <c r="I164" s="1"/>
      <c r="J164" s="1"/>
      <c r="K164" s="1"/>
      <c r="L164" s="1"/>
      <c r="M164" s="1"/>
      <c r="N164" s="22"/>
    </row>
    <row r="165" spans="1:14" s="7" customFormat="1" ht="20.25" hidden="1" customHeight="1">
      <c r="G165" s="8"/>
    </row>
    <row r="166" spans="1:14" s="7" customFormat="1" ht="20.25" hidden="1" customHeight="1">
      <c r="A166" s="18"/>
      <c r="B166" s="32"/>
      <c r="C166" s="1"/>
      <c r="D166" s="1"/>
      <c r="E166" s="1"/>
      <c r="F166" s="1"/>
      <c r="G166" s="46"/>
      <c r="H166" s="1"/>
      <c r="I166" s="1"/>
      <c r="J166" s="1"/>
      <c r="K166" s="1"/>
      <c r="L166" s="1"/>
      <c r="M166" s="1"/>
      <c r="N166" s="55"/>
    </row>
    <row r="167" spans="1:14" s="7" customFormat="1" ht="20.25" hidden="1" customHeight="1">
      <c r="A167" s="18" t="s">
        <v>37</v>
      </c>
      <c r="B167" s="34" t="s">
        <v>60</v>
      </c>
      <c r="C167" s="2">
        <f>C170+C171+C172</f>
        <v>0</v>
      </c>
      <c r="D167" s="2">
        <f t="shared" ref="D167:M167" si="33">D170+D171+D172</f>
        <v>0</v>
      </c>
      <c r="E167" s="2">
        <f t="shared" si="33"/>
        <v>0</v>
      </c>
      <c r="F167" s="2">
        <f t="shared" si="33"/>
        <v>0</v>
      </c>
      <c r="G167" s="17">
        <f t="shared" si="33"/>
        <v>0</v>
      </c>
      <c r="H167" s="2">
        <f t="shared" si="33"/>
        <v>0</v>
      </c>
      <c r="I167" s="2">
        <f t="shared" si="33"/>
        <v>0</v>
      </c>
      <c r="J167" s="2">
        <f t="shared" si="33"/>
        <v>0</v>
      </c>
      <c r="K167" s="2">
        <f t="shared" si="33"/>
        <v>0</v>
      </c>
      <c r="L167" s="2">
        <f t="shared" si="33"/>
        <v>0</v>
      </c>
      <c r="M167" s="2">
        <f t="shared" si="33"/>
        <v>0</v>
      </c>
      <c r="N167" s="55"/>
    </row>
    <row r="168" spans="1:14" s="7" customFormat="1" ht="20.25" hidden="1" customHeight="1">
      <c r="A168" s="18"/>
      <c r="B168" s="35" t="s">
        <v>61</v>
      </c>
      <c r="C168" s="1"/>
      <c r="D168" s="1"/>
      <c r="E168" s="1"/>
      <c r="F168" s="1"/>
      <c r="G168" s="46"/>
      <c r="H168" s="1"/>
      <c r="I168" s="1"/>
      <c r="J168" s="1"/>
      <c r="K168" s="1"/>
      <c r="L168" s="1"/>
      <c r="M168" s="1"/>
      <c r="N168" s="55"/>
    </row>
    <row r="169" spans="1:14" s="7" customFormat="1" ht="32.25" hidden="1" customHeight="1">
      <c r="A169" s="12"/>
      <c r="B169" s="16" t="s">
        <v>42</v>
      </c>
      <c r="C169" s="1"/>
      <c r="D169" s="1"/>
      <c r="E169" s="1"/>
      <c r="F169" s="1"/>
      <c r="G169" s="46"/>
      <c r="H169" s="1"/>
      <c r="I169" s="1"/>
      <c r="J169" s="1"/>
      <c r="K169" s="1"/>
      <c r="L169" s="1"/>
      <c r="M169" s="1"/>
      <c r="N169" s="55"/>
    </row>
    <row r="170" spans="1:14" s="7" customFormat="1" ht="20.25" hidden="1" customHeight="1">
      <c r="A170" s="43"/>
      <c r="B170" s="23" t="s">
        <v>62</v>
      </c>
      <c r="C170" s="1">
        <f>'A3BIS - STUDII SI PROIECTE 2024'!D39</f>
        <v>0</v>
      </c>
      <c r="D170" s="1">
        <f>'A3BIS - STUDII SI PROIECTE 2024'!E39</f>
        <v>0</v>
      </c>
      <c r="E170" s="1">
        <f>'A3BIS - STUDII SI PROIECTE 2024'!F39</f>
        <v>0</v>
      </c>
      <c r="F170" s="1">
        <f>'A3BIS - STUDII SI PROIECTE 2024'!G39</f>
        <v>0</v>
      </c>
      <c r="G170" s="1">
        <f>'A3BIS - STUDII SI PROIECTE 2024'!H39</f>
        <v>0</v>
      </c>
      <c r="H170" s="1">
        <f>'A3BIS - STUDII SI PROIECTE 2024'!I39</f>
        <v>0</v>
      </c>
      <c r="I170" s="1">
        <f>'A3BIS - STUDII SI PROIECTE 2024'!J39</f>
        <v>0</v>
      </c>
      <c r="J170" s="1">
        <f>'A3BIS - STUDII SI PROIECTE 2024'!K39</f>
        <v>0</v>
      </c>
      <c r="K170" s="1">
        <f>'A3BIS - STUDII SI PROIECTE 2024'!L39</f>
        <v>0</v>
      </c>
      <c r="L170" s="1">
        <f>'A3BIS - STUDII SI PROIECTE 2024'!M39</f>
        <v>0</v>
      </c>
      <c r="M170" s="1">
        <f>'A3BIS - STUDII SI PROIECTE 2024'!N39</f>
        <v>0</v>
      </c>
      <c r="N170" s="55"/>
    </row>
    <row r="171" spans="1:14" s="7" customFormat="1" ht="20.25" hidden="1" customHeight="1">
      <c r="A171" s="44"/>
      <c r="B171" s="137" t="s">
        <v>63</v>
      </c>
      <c r="C171" s="45">
        <f>'A3 BIS - DOTARI 2024'!D44</f>
        <v>0</v>
      </c>
      <c r="D171" s="45">
        <f>'A3 BIS - DOTARI 2024'!E44</f>
        <v>0</v>
      </c>
      <c r="E171" s="45">
        <f>'A3 BIS - DOTARI 2024'!F44</f>
        <v>0</v>
      </c>
      <c r="F171" s="45">
        <f>'A3 BIS - DOTARI 2024'!G44</f>
        <v>0</v>
      </c>
      <c r="G171" s="45">
        <f>'A3 BIS - DOTARI 2024'!H44</f>
        <v>0</v>
      </c>
      <c r="H171" s="45">
        <f>'A3 BIS - DOTARI 2024'!I44</f>
        <v>0</v>
      </c>
      <c r="I171" s="45">
        <f>'A3 BIS - DOTARI 2024'!J44</f>
        <v>0</v>
      </c>
      <c r="J171" s="45">
        <f>'A3 BIS - DOTARI 2024'!K44</f>
        <v>0</v>
      </c>
      <c r="K171" s="45">
        <f>'A3 BIS - DOTARI 2024'!L44</f>
        <v>0</v>
      </c>
      <c r="L171" s="45">
        <f>'A3 BIS - DOTARI 2024'!M44</f>
        <v>0</v>
      </c>
      <c r="M171" s="45">
        <f>'A3 BIS - DOTARI 2024'!N44</f>
        <v>0</v>
      </c>
      <c r="N171" s="55"/>
    </row>
    <row r="172" spans="1:14" s="7" customFormat="1" ht="20.25" hidden="1" customHeight="1">
      <c r="A172" s="44"/>
      <c r="B172" s="137" t="s">
        <v>130</v>
      </c>
      <c r="C172" s="45">
        <f>'A3 BIS ALTE CHELTUIELI 2024'!D37</f>
        <v>0</v>
      </c>
      <c r="D172" s="45">
        <f>'A3 BIS ALTE CHELTUIELI 2024'!E37</f>
        <v>0</v>
      </c>
      <c r="E172" s="45">
        <f>'A3 BIS ALTE CHELTUIELI 2024'!F37</f>
        <v>0</v>
      </c>
      <c r="F172" s="45">
        <f>'A3 BIS ALTE CHELTUIELI 2024'!G37</f>
        <v>0</v>
      </c>
      <c r="G172" s="45">
        <f>'A3 BIS ALTE CHELTUIELI 2024'!H37</f>
        <v>0</v>
      </c>
      <c r="H172" s="45">
        <f>'A3 BIS ALTE CHELTUIELI 2024'!I37</f>
        <v>0</v>
      </c>
      <c r="I172" s="45">
        <f>'A3 BIS ALTE CHELTUIELI 2024'!J37</f>
        <v>0</v>
      </c>
      <c r="J172" s="45">
        <f>'A3 BIS ALTE CHELTUIELI 2024'!K37</f>
        <v>0</v>
      </c>
      <c r="K172" s="45">
        <f>'A3 BIS ALTE CHELTUIELI 2024'!L37</f>
        <v>0</v>
      </c>
      <c r="L172" s="45">
        <f>'A3 BIS ALTE CHELTUIELI 2024'!M37</f>
        <v>0</v>
      </c>
      <c r="M172" s="45">
        <f>'A3 BIS ALTE CHELTUIELI 2024'!N37</f>
        <v>0</v>
      </c>
      <c r="N172" s="55"/>
    </row>
    <row r="173" spans="1:14" s="7" customFormat="1" ht="24" hidden="1" customHeight="1">
      <c r="A173" s="44"/>
      <c r="B173" s="137"/>
      <c r="C173" s="45"/>
      <c r="D173" s="45"/>
      <c r="E173" s="45"/>
      <c r="F173" s="45"/>
      <c r="G173" s="237"/>
      <c r="H173" s="45"/>
      <c r="I173" s="45"/>
      <c r="J173" s="45"/>
      <c r="K173" s="45"/>
      <c r="L173" s="45"/>
      <c r="M173" s="45"/>
      <c r="N173" s="55"/>
    </row>
    <row r="174" spans="1:14" s="7" customFormat="1" ht="33" hidden="1" customHeight="1">
      <c r="A174" s="12"/>
      <c r="B174" s="253" t="s">
        <v>158</v>
      </c>
      <c r="C174" s="46"/>
      <c r="D174" s="1"/>
      <c r="E174" s="1"/>
      <c r="F174" s="1"/>
      <c r="G174" s="46"/>
      <c r="H174" s="46"/>
      <c r="I174" s="46"/>
      <c r="J174" s="46"/>
      <c r="K174" s="46"/>
      <c r="L174" s="46"/>
      <c r="M174" s="46" t="s">
        <v>41</v>
      </c>
      <c r="N174" s="55"/>
    </row>
    <row r="175" spans="1:14" s="7" customFormat="1" ht="17.25" hidden="1" customHeight="1">
      <c r="A175" s="15"/>
      <c r="B175" s="16" t="s">
        <v>42</v>
      </c>
      <c r="C175" s="17">
        <f t="shared" ref="C175:M175" si="34">C178+C185+C192</f>
        <v>0</v>
      </c>
      <c r="D175" s="17">
        <f t="shared" si="34"/>
        <v>0</v>
      </c>
      <c r="E175" s="17">
        <f t="shared" si="34"/>
        <v>0</v>
      </c>
      <c r="F175" s="17">
        <f t="shared" si="34"/>
        <v>0</v>
      </c>
      <c r="G175" s="17">
        <f t="shared" si="34"/>
        <v>0</v>
      </c>
      <c r="H175" s="17">
        <f t="shared" si="34"/>
        <v>0</v>
      </c>
      <c r="I175" s="17">
        <f t="shared" si="34"/>
        <v>0</v>
      </c>
      <c r="J175" s="17">
        <f t="shared" si="34"/>
        <v>0</v>
      </c>
      <c r="K175" s="17">
        <f t="shared" si="34"/>
        <v>0</v>
      </c>
      <c r="L175" s="17">
        <f t="shared" si="34"/>
        <v>0</v>
      </c>
      <c r="M175" s="17">
        <f t="shared" si="34"/>
        <v>0</v>
      </c>
      <c r="N175" s="55"/>
    </row>
    <row r="176" spans="1:14" s="7" customFormat="1" ht="17.25" hidden="1" customHeight="1">
      <c r="A176" s="18"/>
      <c r="B176" s="16"/>
      <c r="C176" s="17">
        <f t="shared" ref="C176:M176" si="35">C179+C186+C193</f>
        <v>0</v>
      </c>
      <c r="D176" s="17">
        <f t="shared" si="35"/>
        <v>0</v>
      </c>
      <c r="E176" s="17">
        <f t="shared" si="35"/>
        <v>0</v>
      </c>
      <c r="F176" s="17">
        <f t="shared" si="35"/>
        <v>0</v>
      </c>
      <c r="G176" s="17">
        <f t="shared" si="35"/>
        <v>0</v>
      </c>
      <c r="H176" s="17">
        <f t="shared" si="35"/>
        <v>0</v>
      </c>
      <c r="I176" s="17">
        <f t="shared" si="35"/>
        <v>0</v>
      </c>
      <c r="J176" s="17">
        <f t="shared" si="35"/>
        <v>0</v>
      </c>
      <c r="K176" s="17">
        <f t="shared" si="35"/>
        <v>0</v>
      </c>
      <c r="L176" s="17">
        <f t="shared" si="35"/>
        <v>0</v>
      </c>
      <c r="M176" s="17">
        <f t="shared" si="35"/>
        <v>0</v>
      </c>
      <c r="N176" s="55"/>
    </row>
    <row r="177" spans="1:14" s="7" customFormat="1" ht="9.75" hidden="1" customHeight="1">
      <c r="A177" s="18"/>
      <c r="B177" s="16"/>
      <c r="C177" s="1"/>
      <c r="D177" s="1"/>
      <c r="E177" s="1"/>
      <c r="F177" s="1"/>
      <c r="G177" s="46"/>
      <c r="H177" s="46"/>
      <c r="I177" s="46"/>
      <c r="J177" s="46"/>
      <c r="K177" s="46"/>
      <c r="L177" s="46"/>
      <c r="M177" s="46"/>
      <c r="N177" s="55"/>
    </row>
    <row r="178" spans="1:14" s="7" customFormat="1" ht="17.25" hidden="1" customHeight="1">
      <c r="A178" s="18" t="s">
        <v>32</v>
      </c>
      <c r="B178" s="34" t="s">
        <v>43</v>
      </c>
      <c r="C178" s="2">
        <f>C182</f>
        <v>0</v>
      </c>
      <c r="D178" s="2">
        <f t="shared" ref="D178:M178" si="36">D182</f>
        <v>0</v>
      </c>
      <c r="E178" s="2">
        <f t="shared" si="36"/>
        <v>0</v>
      </c>
      <c r="F178" s="2">
        <f t="shared" si="36"/>
        <v>0</v>
      </c>
      <c r="G178" s="2">
        <f t="shared" si="36"/>
        <v>0</v>
      </c>
      <c r="H178" s="2">
        <f t="shared" si="36"/>
        <v>0</v>
      </c>
      <c r="I178" s="2">
        <f t="shared" si="36"/>
        <v>0</v>
      </c>
      <c r="J178" s="2">
        <f t="shared" si="36"/>
        <v>0</v>
      </c>
      <c r="K178" s="2">
        <f t="shared" si="36"/>
        <v>0</v>
      </c>
      <c r="L178" s="2">
        <f t="shared" si="36"/>
        <v>0</v>
      </c>
      <c r="M178" s="2">
        <f t="shared" si="36"/>
        <v>0</v>
      </c>
      <c r="N178" s="55"/>
    </row>
    <row r="179" spans="1:14" s="7" customFormat="1" ht="17.25" hidden="1" customHeight="1">
      <c r="A179" s="18"/>
      <c r="B179" s="35" t="s">
        <v>34</v>
      </c>
      <c r="C179" s="2">
        <f>C183</f>
        <v>0</v>
      </c>
      <c r="D179" s="2">
        <f t="shared" ref="D179:M179" si="37">D183</f>
        <v>0</v>
      </c>
      <c r="E179" s="2">
        <f t="shared" si="37"/>
        <v>0</v>
      </c>
      <c r="F179" s="2">
        <f t="shared" si="37"/>
        <v>0</v>
      </c>
      <c r="G179" s="2">
        <f t="shared" si="37"/>
        <v>0</v>
      </c>
      <c r="H179" s="2">
        <f t="shared" si="37"/>
        <v>0</v>
      </c>
      <c r="I179" s="2">
        <f t="shared" si="37"/>
        <v>0</v>
      </c>
      <c r="J179" s="2">
        <f t="shared" si="37"/>
        <v>0</v>
      </c>
      <c r="K179" s="2">
        <f t="shared" si="37"/>
        <v>0</v>
      </c>
      <c r="L179" s="2">
        <f t="shared" si="37"/>
        <v>0</v>
      </c>
      <c r="M179" s="2">
        <f t="shared" si="37"/>
        <v>0</v>
      </c>
      <c r="N179" s="55"/>
    </row>
    <row r="180" spans="1:14" s="7" customFormat="1" ht="17.25" hidden="1" customHeight="1">
      <c r="A180" s="12"/>
      <c r="B180" s="32" t="s">
        <v>159</v>
      </c>
      <c r="C180" s="1"/>
      <c r="D180" s="46"/>
      <c r="E180" s="1"/>
      <c r="F180" s="1"/>
      <c r="G180" s="46"/>
      <c r="H180" s="1"/>
      <c r="I180" s="1"/>
      <c r="J180" s="1"/>
      <c r="K180" s="1"/>
      <c r="L180" s="1"/>
      <c r="M180" s="1"/>
      <c r="N180" s="55"/>
    </row>
    <row r="181" spans="1:14" s="7" customFormat="1" ht="10.5" hidden="1" customHeight="1">
      <c r="A181" s="53"/>
      <c r="B181" s="59"/>
      <c r="C181" s="1"/>
      <c r="D181" s="1"/>
      <c r="E181" s="1"/>
      <c r="F181" s="1"/>
      <c r="G181" s="202"/>
      <c r="H181" s="1"/>
      <c r="I181" s="1"/>
      <c r="J181" s="1"/>
      <c r="K181" s="1"/>
      <c r="L181" s="1"/>
      <c r="M181" s="14"/>
      <c r="N181" s="55"/>
    </row>
    <row r="182" spans="1:14" s="10" customFormat="1" ht="17.25" hidden="1" customHeight="1">
      <c r="A182" s="53">
        <v>1</v>
      </c>
      <c r="B182" s="192"/>
      <c r="C182" s="2">
        <v>0</v>
      </c>
      <c r="D182" s="2">
        <v>0</v>
      </c>
      <c r="E182" s="2">
        <v>0</v>
      </c>
      <c r="F182" s="2">
        <f>D182-E182</f>
        <v>0</v>
      </c>
      <c r="G182" s="58">
        <f>SUM(H182:M182)</f>
        <v>0</v>
      </c>
      <c r="H182" s="2"/>
      <c r="I182" s="2"/>
      <c r="J182" s="2"/>
      <c r="K182" s="2"/>
      <c r="L182" s="2">
        <v>0</v>
      </c>
      <c r="M182" s="42"/>
      <c r="N182" s="22" t="s">
        <v>153</v>
      </c>
    </row>
    <row r="183" spans="1:14" s="11" customFormat="1" ht="17.25" hidden="1" customHeight="1">
      <c r="A183" s="53"/>
      <c r="B183" s="162"/>
      <c r="C183" s="2">
        <v>0</v>
      </c>
      <c r="D183" s="2">
        <v>0</v>
      </c>
      <c r="E183" s="2">
        <v>0</v>
      </c>
      <c r="F183" s="2">
        <f>D183-E183</f>
        <v>0</v>
      </c>
      <c r="G183" s="58">
        <f>SUM(H183:M183)</f>
        <v>0</v>
      </c>
      <c r="H183" s="2"/>
      <c r="I183" s="2"/>
      <c r="J183" s="2"/>
      <c r="K183" s="2"/>
      <c r="L183" s="340">
        <v>0</v>
      </c>
      <c r="M183" s="42"/>
      <c r="N183" s="24"/>
    </row>
    <row r="184" spans="1:14" s="11" customFormat="1" ht="17.25" hidden="1" customHeight="1">
      <c r="A184" s="53"/>
      <c r="B184" s="162"/>
      <c r="C184" s="1"/>
      <c r="D184" s="1"/>
      <c r="E184" s="1"/>
      <c r="F184" s="1"/>
      <c r="G184" s="202"/>
      <c r="H184" s="1"/>
      <c r="I184" s="1"/>
      <c r="J184" s="1"/>
      <c r="K184" s="1"/>
      <c r="L184" s="41"/>
      <c r="M184" s="14"/>
      <c r="N184" s="24"/>
    </row>
    <row r="185" spans="1:14" s="41" customFormat="1" ht="17.25" hidden="1" customHeight="1">
      <c r="A185" s="18" t="s">
        <v>35</v>
      </c>
      <c r="B185" s="34" t="s">
        <v>43</v>
      </c>
      <c r="C185" s="17">
        <f>C189</f>
        <v>0</v>
      </c>
      <c r="D185" s="17">
        <f t="shared" ref="D185:M185" si="38">D189</f>
        <v>0</v>
      </c>
      <c r="E185" s="17">
        <f t="shared" si="38"/>
        <v>0</v>
      </c>
      <c r="F185" s="17">
        <f t="shared" si="38"/>
        <v>0</v>
      </c>
      <c r="G185" s="17">
        <f t="shared" si="38"/>
        <v>0</v>
      </c>
      <c r="H185" s="17">
        <f t="shared" si="38"/>
        <v>0</v>
      </c>
      <c r="I185" s="17">
        <f t="shared" si="38"/>
        <v>0</v>
      </c>
      <c r="J185" s="17">
        <f t="shared" si="38"/>
        <v>0</v>
      </c>
      <c r="K185" s="17">
        <f t="shared" si="38"/>
        <v>0</v>
      </c>
      <c r="L185" s="17">
        <f t="shared" si="38"/>
        <v>0</v>
      </c>
      <c r="M185" s="17">
        <f t="shared" si="38"/>
        <v>0</v>
      </c>
      <c r="N185" s="24"/>
    </row>
    <row r="186" spans="1:14" s="41" customFormat="1" ht="17.25" hidden="1" customHeight="1">
      <c r="A186" s="18"/>
      <c r="B186" s="35" t="s">
        <v>36</v>
      </c>
      <c r="C186" s="17">
        <f>C190</f>
        <v>0</v>
      </c>
      <c r="D186" s="17">
        <f t="shared" ref="D186:M186" si="39">D190</f>
        <v>0</v>
      </c>
      <c r="E186" s="17">
        <f t="shared" si="39"/>
        <v>0</v>
      </c>
      <c r="F186" s="17">
        <f t="shared" si="39"/>
        <v>0</v>
      </c>
      <c r="G186" s="17">
        <f t="shared" si="39"/>
        <v>0</v>
      </c>
      <c r="H186" s="17">
        <f t="shared" si="39"/>
        <v>0</v>
      </c>
      <c r="I186" s="17">
        <f t="shared" si="39"/>
        <v>0</v>
      </c>
      <c r="J186" s="17">
        <f t="shared" si="39"/>
        <v>0</v>
      </c>
      <c r="K186" s="17">
        <f t="shared" si="39"/>
        <v>0</v>
      </c>
      <c r="L186" s="17">
        <f t="shared" si="39"/>
        <v>0</v>
      </c>
      <c r="M186" s="17">
        <f t="shared" si="39"/>
        <v>0</v>
      </c>
      <c r="N186" s="22"/>
    </row>
    <row r="187" spans="1:14" s="41" customFormat="1" ht="17.25" hidden="1" customHeight="1">
      <c r="A187" s="12"/>
      <c r="B187" s="16" t="s">
        <v>42</v>
      </c>
      <c r="C187" s="1"/>
      <c r="D187" s="1"/>
      <c r="E187" s="1"/>
      <c r="F187" s="1"/>
      <c r="G187" s="46"/>
      <c r="H187" s="1"/>
      <c r="I187" s="1"/>
      <c r="J187" s="1"/>
      <c r="K187" s="1"/>
      <c r="L187" s="1"/>
      <c r="M187" s="1"/>
      <c r="N187" s="22"/>
    </row>
    <row r="188" spans="1:14" s="41" customFormat="1" ht="11.25" hidden="1" customHeight="1">
      <c r="A188" s="12"/>
      <c r="B188" s="16"/>
      <c r="C188" s="1"/>
      <c r="D188" s="1"/>
      <c r="E188" s="1"/>
      <c r="F188" s="1"/>
      <c r="G188" s="46"/>
      <c r="H188" s="1"/>
      <c r="I188" s="1"/>
      <c r="J188" s="1"/>
      <c r="K188" s="1"/>
      <c r="L188" s="1"/>
      <c r="M188" s="1"/>
      <c r="N188" s="22"/>
    </row>
    <row r="189" spans="1:14" s="41" customFormat="1" ht="17.25" hidden="1" customHeight="1">
      <c r="A189" s="18">
        <v>1</v>
      </c>
      <c r="B189" s="234"/>
      <c r="C189" s="51">
        <v>0</v>
      </c>
      <c r="D189" s="341">
        <v>0</v>
      </c>
      <c r="E189" s="51">
        <v>0</v>
      </c>
      <c r="F189" s="2">
        <f>D189-E189</f>
        <v>0</v>
      </c>
      <c r="G189" s="58">
        <f>SUM(H189:M189)</f>
        <v>0</v>
      </c>
      <c r="H189" s="2"/>
      <c r="I189" s="2"/>
      <c r="J189" s="2"/>
      <c r="K189" s="2"/>
      <c r="L189" s="2">
        <v>0</v>
      </c>
      <c r="M189" s="2"/>
      <c r="N189" s="22" t="s">
        <v>153</v>
      </c>
    </row>
    <row r="190" spans="1:14" s="41" customFormat="1" ht="17.25" hidden="1" customHeight="1">
      <c r="A190" s="18"/>
      <c r="B190" s="193"/>
      <c r="C190" s="51">
        <v>0</v>
      </c>
      <c r="D190" s="51">
        <v>0</v>
      </c>
      <c r="E190" s="51">
        <v>0</v>
      </c>
      <c r="F190" s="2">
        <f>D190-E190</f>
        <v>0</v>
      </c>
      <c r="G190" s="17">
        <f>SUM(H190:M190)</f>
        <v>0</v>
      </c>
      <c r="H190" s="51"/>
      <c r="I190" s="51"/>
      <c r="J190" s="51"/>
      <c r="K190" s="51"/>
      <c r="L190" s="51">
        <v>0</v>
      </c>
      <c r="M190" s="51"/>
      <c r="N190" s="22"/>
    </row>
    <row r="191" spans="1:14" s="41" customFormat="1" ht="17.25" hidden="1" customHeight="1">
      <c r="A191" s="18"/>
      <c r="B191" s="193"/>
      <c r="C191" s="52"/>
      <c r="D191" s="52"/>
      <c r="E191" s="52"/>
      <c r="F191" s="1"/>
      <c r="G191" s="46"/>
      <c r="H191" s="52"/>
      <c r="I191" s="52"/>
      <c r="J191" s="52"/>
      <c r="K191" s="52"/>
      <c r="L191" s="52"/>
      <c r="M191" s="52"/>
      <c r="N191" s="22"/>
    </row>
    <row r="192" spans="1:14" s="41" customFormat="1" ht="17.25" hidden="1" customHeight="1">
      <c r="A192" s="18" t="s">
        <v>37</v>
      </c>
      <c r="B192" s="34" t="s">
        <v>179</v>
      </c>
      <c r="C192" s="2">
        <f>C195+C196+C197</f>
        <v>0</v>
      </c>
      <c r="D192" s="2">
        <f t="shared" ref="D192:M192" si="40">D195+D196+D197</f>
        <v>0</v>
      </c>
      <c r="E192" s="2">
        <f t="shared" si="40"/>
        <v>0</v>
      </c>
      <c r="F192" s="2">
        <f t="shared" si="40"/>
        <v>0</v>
      </c>
      <c r="G192" s="17">
        <f t="shared" si="40"/>
        <v>0</v>
      </c>
      <c r="H192" s="2">
        <f t="shared" si="40"/>
        <v>0</v>
      </c>
      <c r="I192" s="2">
        <f t="shared" si="40"/>
        <v>0</v>
      </c>
      <c r="J192" s="2">
        <f t="shared" si="40"/>
        <v>0</v>
      </c>
      <c r="K192" s="2">
        <f t="shared" si="40"/>
        <v>0</v>
      </c>
      <c r="L192" s="2">
        <f t="shared" si="40"/>
        <v>0</v>
      </c>
      <c r="M192" s="2">
        <f t="shared" si="40"/>
        <v>0</v>
      </c>
      <c r="N192" s="22"/>
    </row>
    <row r="193" spans="1:14" s="41" customFormat="1" ht="17.25" hidden="1" customHeight="1">
      <c r="A193" s="18"/>
      <c r="B193" s="35" t="s">
        <v>180</v>
      </c>
      <c r="C193" s="1"/>
      <c r="D193" s="1"/>
      <c r="E193" s="1"/>
      <c r="F193" s="1"/>
      <c r="G193" s="46"/>
      <c r="H193" s="1"/>
      <c r="I193" s="1"/>
      <c r="J193" s="1"/>
      <c r="K193" s="1"/>
      <c r="L193" s="1"/>
      <c r="M193" s="1"/>
      <c r="N193" s="22"/>
    </row>
    <row r="194" spans="1:14" s="41" customFormat="1" ht="17.25" hidden="1" customHeight="1">
      <c r="A194" s="43"/>
      <c r="B194" s="16" t="s">
        <v>42</v>
      </c>
      <c r="C194" s="1"/>
      <c r="D194" s="1"/>
      <c r="E194" s="1"/>
      <c r="F194" s="1"/>
      <c r="G194" s="46"/>
      <c r="H194" s="1"/>
      <c r="I194" s="1"/>
      <c r="J194" s="1"/>
      <c r="K194" s="1"/>
      <c r="L194" s="1"/>
      <c r="M194" s="1"/>
      <c r="N194" s="22"/>
    </row>
    <row r="195" spans="1:14" s="41" customFormat="1" ht="17.25" hidden="1" customHeight="1">
      <c r="A195" s="12"/>
      <c r="B195" s="23" t="s">
        <v>62</v>
      </c>
      <c r="C195" s="1">
        <f>'A3BIS - STUDII SI PROIECTE 2024'!D44</f>
        <v>0</v>
      </c>
      <c r="D195" s="1">
        <f>'A3BIS - STUDII SI PROIECTE 2024'!E44</f>
        <v>0</v>
      </c>
      <c r="E195" s="1">
        <f>'A3BIS - STUDII SI PROIECTE 2024'!F44</f>
        <v>0</v>
      </c>
      <c r="F195" s="1">
        <f>'A3BIS - STUDII SI PROIECTE 2024'!G44</f>
        <v>0</v>
      </c>
      <c r="G195" s="1">
        <f>'A3BIS - STUDII SI PROIECTE 2024'!H44</f>
        <v>0</v>
      </c>
      <c r="H195" s="1">
        <f>'A3BIS - STUDII SI PROIECTE 2024'!I44</f>
        <v>0</v>
      </c>
      <c r="I195" s="1">
        <f>'A3BIS - STUDII SI PROIECTE 2024'!J44</f>
        <v>0</v>
      </c>
      <c r="J195" s="1">
        <f>'A3BIS - STUDII SI PROIECTE 2024'!K44</f>
        <v>0</v>
      </c>
      <c r="K195" s="1">
        <f>'A3BIS - STUDII SI PROIECTE 2024'!L44</f>
        <v>0</v>
      </c>
      <c r="L195" s="1">
        <f>'A3BIS - STUDII SI PROIECTE 2024'!M44</f>
        <v>0</v>
      </c>
      <c r="M195" s="1">
        <f>'A3BIS - STUDII SI PROIECTE 2024'!N44</f>
        <v>0</v>
      </c>
      <c r="N195" s="22"/>
    </row>
    <row r="196" spans="1:14" s="41" customFormat="1" ht="17.25" hidden="1" customHeight="1">
      <c r="A196" s="43"/>
      <c r="B196" s="23" t="s">
        <v>155</v>
      </c>
      <c r="C196" s="1">
        <f>'A3 BIS - DOTARI 2024'!D49</f>
        <v>0</v>
      </c>
      <c r="D196" s="1">
        <f>'A3 BIS - DOTARI 2024'!E49</f>
        <v>0</v>
      </c>
      <c r="E196" s="1">
        <f>'A3 BIS - DOTARI 2024'!F49</f>
        <v>0</v>
      </c>
      <c r="F196" s="1">
        <f>'A3 BIS - DOTARI 2024'!G49</f>
        <v>0</v>
      </c>
      <c r="G196" s="1">
        <f>'A3 BIS - DOTARI 2024'!H49</f>
        <v>0</v>
      </c>
      <c r="H196" s="1">
        <f>'A3 BIS - DOTARI 2024'!I49</f>
        <v>0</v>
      </c>
      <c r="I196" s="1">
        <f>'A3 BIS - DOTARI 2024'!J49</f>
        <v>0</v>
      </c>
      <c r="J196" s="1">
        <f>'A3 BIS - DOTARI 2024'!K49</f>
        <v>0</v>
      </c>
      <c r="K196" s="1">
        <f>'A3 BIS - DOTARI 2024'!L49</f>
        <v>0</v>
      </c>
      <c r="L196" s="1">
        <f>'A3 BIS - DOTARI 2024'!M49</f>
        <v>0</v>
      </c>
      <c r="M196" s="1">
        <f>'A3 BIS - DOTARI 2024'!N49</f>
        <v>0</v>
      </c>
      <c r="N196" s="22"/>
    </row>
    <row r="197" spans="1:14" s="41" customFormat="1" ht="17.25" hidden="1" customHeight="1">
      <c r="A197" s="43"/>
      <c r="B197" s="23" t="s">
        <v>130</v>
      </c>
      <c r="C197" s="63">
        <f>'A3 BIS ALTE CHELTUIELI 2024'!D42</f>
        <v>0</v>
      </c>
      <c r="D197" s="63">
        <f>'A3 BIS ALTE CHELTUIELI 2024'!E42</f>
        <v>0</v>
      </c>
      <c r="E197" s="63">
        <f>'A3 BIS ALTE CHELTUIELI 2024'!F42</f>
        <v>0</v>
      </c>
      <c r="F197" s="63">
        <f>'A3 BIS ALTE CHELTUIELI 2024'!G42</f>
        <v>0</v>
      </c>
      <c r="G197" s="63">
        <f>'A3 BIS ALTE CHELTUIELI 2024'!H42</f>
        <v>0</v>
      </c>
      <c r="H197" s="63">
        <f>'A3 BIS ALTE CHELTUIELI 2024'!I42</f>
        <v>0</v>
      </c>
      <c r="I197" s="63">
        <f>'A3 BIS ALTE CHELTUIELI 2024'!J42</f>
        <v>0</v>
      </c>
      <c r="J197" s="63">
        <f>'A3 BIS ALTE CHELTUIELI 2024'!K42</f>
        <v>0</v>
      </c>
      <c r="K197" s="63">
        <f>'A3 BIS ALTE CHELTUIELI 2024'!L42</f>
        <v>0</v>
      </c>
      <c r="L197" s="63">
        <f>'A3 BIS ALTE CHELTUIELI 2024'!M42</f>
        <v>0</v>
      </c>
      <c r="M197" s="63">
        <f>'A3 BIS ALTE CHELTUIELI 2024'!N42</f>
        <v>0</v>
      </c>
      <c r="N197" s="22"/>
    </row>
    <row r="198" spans="1:14" s="41" customFormat="1" ht="24.75" hidden="1" customHeight="1">
      <c r="A198" s="43"/>
      <c r="B198" s="23"/>
      <c r="C198" s="63"/>
      <c r="D198" s="63"/>
      <c r="E198" s="63"/>
      <c r="F198" s="63"/>
      <c r="G198" s="239"/>
      <c r="H198" s="63"/>
      <c r="I198" s="63"/>
      <c r="J198" s="63"/>
      <c r="K198" s="63"/>
      <c r="L198" s="63"/>
      <c r="M198" s="63"/>
      <c r="N198" s="22"/>
    </row>
    <row r="199" spans="1:14" s="41" customFormat="1" ht="26.25" hidden="1" customHeight="1">
      <c r="A199" s="277"/>
      <c r="B199" s="138" t="s">
        <v>181</v>
      </c>
      <c r="C199" s="9" t="s">
        <v>182</v>
      </c>
      <c r="D199" s="9"/>
      <c r="E199" s="9"/>
      <c r="F199" s="9"/>
      <c r="G199" s="9"/>
      <c r="H199" s="9"/>
      <c r="I199" s="9"/>
      <c r="J199" s="9"/>
      <c r="K199" s="9"/>
      <c r="L199" s="104"/>
      <c r="M199" s="9" t="s">
        <v>41</v>
      </c>
      <c r="N199" s="22"/>
    </row>
    <row r="200" spans="1:14" s="41" customFormat="1" ht="19.5" hidden="1" customHeight="1">
      <c r="A200" s="50"/>
      <c r="B200" s="16" t="s">
        <v>42</v>
      </c>
      <c r="C200" s="58">
        <f>C203+C210+C216</f>
        <v>0</v>
      </c>
      <c r="D200" s="58">
        <f t="shared" ref="D200:M201" si="41">D203+D210+D216</f>
        <v>0</v>
      </c>
      <c r="E200" s="58">
        <f t="shared" si="41"/>
        <v>0</v>
      </c>
      <c r="F200" s="58">
        <f t="shared" si="41"/>
        <v>0</v>
      </c>
      <c r="G200" s="58">
        <f t="shared" si="41"/>
        <v>0</v>
      </c>
      <c r="H200" s="58">
        <f t="shared" si="41"/>
        <v>0</v>
      </c>
      <c r="I200" s="58">
        <f t="shared" si="41"/>
        <v>0</v>
      </c>
      <c r="J200" s="58">
        <f t="shared" si="41"/>
        <v>0</v>
      </c>
      <c r="K200" s="58">
        <f t="shared" si="41"/>
        <v>0</v>
      </c>
      <c r="L200" s="58">
        <f t="shared" si="41"/>
        <v>0</v>
      </c>
      <c r="M200" s="58">
        <f t="shared" si="41"/>
        <v>0</v>
      </c>
      <c r="N200" s="22"/>
    </row>
    <row r="201" spans="1:14" s="41" customFormat="1" ht="19.5" hidden="1" customHeight="1">
      <c r="A201" s="50"/>
      <c r="B201" s="23"/>
      <c r="C201" s="58">
        <f>C204+C211+C217</f>
        <v>0</v>
      </c>
      <c r="D201" s="58">
        <f t="shared" si="41"/>
        <v>0</v>
      </c>
      <c r="E201" s="58">
        <f t="shared" si="41"/>
        <v>0</v>
      </c>
      <c r="F201" s="58">
        <f t="shared" si="41"/>
        <v>0</v>
      </c>
      <c r="G201" s="58">
        <f t="shared" si="41"/>
        <v>0</v>
      </c>
      <c r="H201" s="58">
        <f t="shared" si="41"/>
        <v>0</v>
      </c>
      <c r="I201" s="58">
        <f t="shared" si="41"/>
        <v>0</v>
      </c>
      <c r="J201" s="58">
        <f t="shared" si="41"/>
        <v>0</v>
      </c>
      <c r="K201" s="58">
        <f t="shared" si="41"/>
        <v>0</v>
      </c>
      <c r="L201" s="58">
        <f t="shared" si="41"/>
        <v>0</v>
      </c>
      <c r="M201" s="58">
        <f t="shared" si="41"/>
        <v>0</v>
      </c>
      <c r="N201" s="22"/>
    </row>
    <row r="202" spans="1:14" s="41" customFormat="1" ht="11.25" hidden="1" customHeight="1">
      <c r="A202" s="50"/>
      <c r="B202" s="23"/>
      <c r="C202" s="52"/>
      <c r="D202" s="52"/>
      <c r="E202" s="52"/>
      <c r="F202" s="52"/>
      <c r="G202" s="202"/>
      <c r="H202" s="52"/>
      <c r="I202" s="52"/>
      <c r="J202" s="52"/>
      <c r="K202" s="52"/>
      <c r="L202" s="52"/>
      <c r="M202" s="52"/>
      <c r="N202" s="22"/>
    </row>
    <row r="203" spans="1:14" s="41" customFormat="1" ht="19.5" hidden="1" customHeight="1">
      <c r="A203" s="50" t="s">
        <v>70</v>
      </c>
      <c r="B203" s="34" t="s">
        <v>43</v>
      </c>
      <c r="C203" s="56">
        <f>C207</f>
        <v>0</v>
      </c>
      <c r="D203" s="51">
        <f t="shared" ref="D203:M204" si="42">D207</f>
        <v>0</v>
      </c>
      <c r="E203" s="51">
        <f t="shared" si="42"/>
        <v>0</v>
      </c>
      <c r="F203" s="51">
        <f t="shared" si="42"/>
        <v>0</v>
      </c>
      <c r="G203" s="58">
        <f>SUM(H203:M203)</f>
        <v>0</v>
      </c>
      <c r="H203" s="51">
        <f t="shared" si="42"/>
        <v>0</v>
      </c>
      <c r="I203" s="51">
        <f t="shared" si="42"/>
        <v>0</v>
      </c>
      <c r="J203" s="51">
        <f t="shared" si="42"/>
        <v>0</v>
      </c>
      <c r="K203" s="51">
        <f t="shared" si="42"/>
        <v>0</v>
      </c>
      <c r="L203" s="51">
        <f t="shared" si="42"/>
        <v>0</v>
      </c>
      <c r="M203" s="51">
        <f t="shared" si="42"/>
        <v>0</v>
      </c>
      <c r="N203" s="22"/>
    </row>
    <row r="204" spans="1:14" s="41" customFormat="1" ht="19.5" hidden="1" customHeight="1">
      <c r="A204" s="50"/>
      <c r="B204" s="35" t="s">
        <v>34</v>
      </c>
      <c r="C204" s="56">
        <f>C208</f>
        <v>0</v>
      </c>
      <c r="D204" s="51">
        <f t="shared" si="42"/>
        <v>0</v>
      </c>
      <c r="E204" s="51">
        <f t="shared" si="42"/>
        <v>0</v>
      </c>
      <c r="F204" s="51">
        <f t="shared" si="42"/>
        <v>0</v>
      </c>
      <c r="G204" s="58">
        <f>SUM(H204:M204)</f>
        <v>0</v>
      </c>
      <c r="H204" s="51">
        <f t="shared" si="42"/>
        <v>0</v>
      </c>
      <c r="I204" s="51">
        <f t="shared" si="42"/>
        <v>0</v>
      </c>
      <c r="J204" s="51">
        <f t="shared" si="42"/>
        <v>0</v>
      </c>
      <c r="K204" s="51">
        <f t="shared" si="42"/>
        <v>0</v>
      </c>
      <c r="L204" s="51">
        <f t="shared" si="42"/>
        <v>0</v>
      </c>
      <c r="M204" s="51">
        <f t="shared" si="42"/>
        <v>0</v>
      </c>
      <c r="N204" s="22"/>
    </row>
    <row r="205" spans="1:14" s="41" customFormat="1" ht="19.5" hidden="1" customHeight="1">
      <c r="A205" s="50"/>
      <c r="B205" s="32" t="s">
        <v>159</v>
      </c>
      <c r="C205" s="52"/>
      <c r="D205" s="52"/>
      <c r="E205" s="52"/>
      <c r="F205" s="52"/>
      <c r="G205" s="202"/>
      <c r="H205" s="52"/>
      <c r="I205" s="52"/>
      <c r="J205" s="52"/>
      <c r="K205" s="52"/>
      <c r="L205" s="52"/>
      <c r="M205" s="52"/>
      <c r="N205" s="22"/>
    </row>
    <row r="206" spans="1:14" s="41" customFormat="1" ht="12" hidden="1" customHeight="1">
      <c r="A206" s="50"/>
      <c r="B206" s="32"/>
      <c r="C206" s="52"/>
      <c r="D206" s="52"/>
      <c r="E206" s="52"/>
      <c r="F206" s="52"/>
      <c r="G206" s="202"/>
      <c r="H206" s="52"/>
      <c r="I206" s="52"/>
      <c r="J206" s="52"/>
      <c r="K206" s="52"/>
      <c r="L206" s="52"/>
      <c r="M206" s="52"/>
      <c r="N206" s="22"/>
    </row>
    <row r="207" spans="1:14" s="41" customFormat="1" ht="19.5" hidden="1" customHeight="1">
      <c r="A207" s="50">
        <v>1</v>
      </c>
      <c r="B207" s="140"/>
      <c r="C207" s="2">
        <v>0</v>
      </c>
      <c r="D207" s="2">
        <v>0</v>
      </c>
      <c r="E207" s="2">
        <v>0</v>
      </c>
      <c r="F207" s="2">
        <f>D207-E207</f>
        <v>0</v>
      </c>
      <c r="G207" s="58">
        <f>SUM(H207:M207)</f>
        <v>0</v>
      </c>
      <c r="H207" s="2"/>
      <c r="I207" s="2"/>
      <c r="J207" s="2"/>
      <c r="K207" s="2">
        <v>0</v>
      </c>
      <c r="L207" s="2">
        <v>0</v>
      </c>
      <c r="M207" s="42"/>
      <c r="N207" s="22"/>
    </row>
    <row r="208" spans="1:14" s="41" customFormat="1" ht="19.5" hidden="1" customHeight="1">
      <c r="A208" s="50"/>
      <c r="B208" s="140"/>
      <c r="C208" s="2">
        <v>0</v>
      </c>
      <c r="D208" s="2">
        <v>0</v>
      </c>
      <c r="E208" s="2">
        <v>0</v>
      </c>
      <c r="F208" s="2">
        <f>D208-E208</f>
        <v>0</v>
      </c>
      <c r="G208" s="58">
        <f>SUM(H208:M208)</f>
        <v>0</v>
      </c>
      <c r="H208" s="2"/>
      <c r="I208" s="2"/>
      <c r="J208" s="2"/>
      <c r="K208" s="2">
        <v>0</v>
      </c>
      <c r="L208" s="2">
        <v>0</v>
      </c>
      <c r="M208" s="42"/>
      <c r="N208" s="22"/>
    </row>
    <row r="209" spans="1:14" s="41" customFormat="1" ht="16.5" hidden="1" customHeight="1">
      <c r="A209" s="50"/>
      <c r="B209" s="140"/>
      <c r="C209" s="1"/>
      <c r="D209" s="1"/>
      <c r="E209" s="1"/>
      <c r="F209" s="1"/>
      <c r="G209" s="202"/>
      <c r="H209" s="1"/>
      <c r="I209" s="1"/>
      <c r="J209" s="1"/>
      <c r="K209" s="1"/>
      <c r="L209" s="1"/>
      <c r="M209" s="14"/>
      <c r="N209" s="22"/>
    </row>
    <row r="210" spans="1:14" s="41" customFormat="1" ht="19.5" hidden="1" customHeight="1">
      <c r="A210" s="8" t="s">
        <v>35</v>
      </c>
      <c r="B210" s="34" t="s">
        <v>43</v>
      </c>
      <c r="C210" s="56">
        <f t="shared" ref="C210:M211" si="43">C213</f>
        <v>0</v>
      </c>
      <c r="D210" s="56">
        <f t="shared" si="43"/>
        <v>0</v>
      </c>
      <c r="E210" s="56">
        <f t="shared" si="43"/>
        <v>0</v>
      </c>
      <c r="F210" s="56">
        <f t="shared" si="43"/>
        <v>0</v>
      </c>
      <c r="G210" s="274">
        <f>SUM(H210:M210)</f>
        <v>0</v>
      </c>
      <c r="H210" s="56">
        <f t="shared" si="43"/>
        <v>0</v>
      </c>
      <c r="I210" s="56">
        <f t="shared" si="43"/>
        <v>0</v>
      </c>
      <c r="J210" s="56">
        <f t="shared" si="43"/>
        <v>0</v>
      </c>
      <c r="K210" s="56">
        <f t="shared" si="43"/>
        <v>0</v>
      </c>
      <c r="L210" s="56">
        <f t="shared" si="43"/>
        <v>0</v>
      </c>
      <c r="M210" s="56">
        <f t="shared" si="43"/>
        <v>0</v>
      </c>
      <c r="N210" s="22"/>
    </row>
    <row r="211" spans="1:14" s="41" customFormat="1" ht="19.5" hidden="1" customHeight="1">
      <c r="A211" s="50"/>
      <c r="B211" s="35" t="s">
        <v>36</v>
      </c>
      <c r="C211" s="56">
        <f t="shared" si="43"/>
        <v>0</v>
      </c>
      <c r="D211" s="56">
        <f t="shared" si="43"/>
        <v>0</v>
      </c>
      <c r="E211" s="56">
        <f t="shared" si="43"/>
        <v>0</v>
      </c>
      <c r="F211" s="56">
        <f t="shared" si="43"/>
        <v>0</v>
      </c>
      <c r="G211" s="274">
        <f>SUM(H211:M211)</f>
        <v>0</v>
      </c>
      <c r="H211" s="56">
        <f t="shared" si="43"/>
        <v>0</v>
      </c>
      <c r="I211" s="56">
        <f t="shared" si="43"/>
        <v>0</v>
      </c>
      <c r="J211" s="56">
        <f t="shared" si="43"/>
        <v>0</v>
      </c>
      <c r="K211" s="56">
        <f t="shared" si="43"/>
        <v>0</v>
      </c>
      <c r="L211" s="56">
        <f t="shared" si="43"/>
        <v>0</v>
      </c>
      <c r="M211" s="56">
        <f t="shared" si="43"/>
        <v>0</v>
      </c>
      <c r="N211" s="22"/>
    </row>
    <row r="212" spans="1:14" s="41" customFormat="1" ht="15" hidden="1" customHeight="1">
      <c r="A212" s="50"/>
      <c r="B212" s="32"/>
      <c r="C212" s="52"/>
      <c r="D212" s="52"/>
      <c r="E212" s="52"/>
      <c r="F212" s="52"/>
      <c r="G212" s="202"/>
      <c r="H212" s="52"/>
      <c r="I212" s="52"/>
      <c r="J212" s="52"/>
      <c r="K212" s="52"/>
      <c r="L212" s="52"/>
      <c r="M212" s="52"/>
      <c r="N212" s="22"/>
    </row>
    <row r="213" spans="1:14" s="41" customFormat="1" ht="19.5" hidden="1" customHeight="1">
      <c r="A213" s="50">
        <v>1</v>
      </c>
      <c r="B213" s="62"/>
      <c r="C213" s="51">
        <v>0</v>
      </c>
      <c r="D213" s="51">
        <v>0</v>
      </c>
      <c r="E213" s="51">
        <v>0</v>
      </c>
      <c r="F213" s="2">
        <f>D213-E213</f>
        <v>0</v>
      </c>
      <c r="G213" s="58">
        <f>SUM(H213:M213)</f>
        <v>0</v>
      </c>
      <c r="H213" s="51"/>
      <c r="I213" s="51"/>
      <c r="J213" s="51"/>
      <c r="K213" s="51"/>
      <c r="L213" s="51">
        <v>0</v>
      </c>
      <c r="M213" s="51"/>
      <c r="N213" s="22"/>
    </row>
    <row r="214" spans="1:14" s="41" customFormat="1" ht="19.5" hidden="1" customHeight="1">
      <c r="A214" s="50"/>
      <c r="B214" s="32"/>
      <c r="C214" s="51">
        <v>0</v>
      </c>
      <c r="D214" s="51">
        <v>0</v>
      </c>
      <c r="E214" s="51">
        <v>0</v>
      </c>
      <c r="F214" s="2">
        <f>D214-E214</f>
        <v>0</v>
      </c>
      <c r="G214" s="58">
        <f>SUM(H214:M214)</f>
        <v>0</v>
      </c>
      <c r="H214" s="51"/>
      <c r="I214" s="51"/>
      <c r="J214" s="51"/>
      <c r="K214" s="51"/>
      <c r="L214" s="51">
        <v>0</v>
      </c>
      <c r="M214" s="51"/>
      <c r="N214" s="22"/>
    </row>
    <row r="215" spans="1:14" s="41" customFormat="1" ht="13.5" hidden="1" customHeight="1">
      <c r="A215" s="50"/>
      <c r="B215" s="32"/>
      <c r="C215" s="52"/>
      <c r="D215" s="52"/>
      <c r="E215" s="52"/>
      <c r="F215" s="52"/>
      <c r="G215" s="202"/>
      <c r="H215" s="52"/>
      <c r="I215" s="52"/>
      <c r="J215" s="52"/>
      <c r="K215" s="52"/>
      <c r="L215" s="52"/>
      <c r="M215" s="52"/>
      <c r="N215" s="22"/>
    </row>
    <row r="216" spans="1:14" s="41" customFormat="1" ht="19.5" hidden="1" customHeight="1">
      <c r="A216" s="50" t="s">
        <v>37</v>
      </c>
      <c r="B216" s="34" t="s">
        <v>60</v>
      </c>
      <c r="C216" s="56">
        <f>C219+C220</f>
        <v>0</v>
      </c>
      <c r="D216" s="56">
        <f t="shared" ref="D216:M216" si="44">D219+D220</f>
        <v>0</v>
      </c>
      <c r="E216" s="56">
        <f t="shared" si="44"/>
        <v>0</v>
      </c>
      <c r="F216" s="56">
        <f t="shared" si="44"/>
        <v>0</v>
      </c>
      <c r="G216" s="274">
        <f t="shared" si="44"/>
        <v>0</v>
      </c>
      <c r="H216" s="56">
        <f t="shared" si="44"/>
        <v>0</v>
      </c>
      <c r="I216" s="56">
        <f t="shared" si="44"/>
        <v>0</v>
      </c>
      <c r="J216" s="56">
        <f t="shared" si="44"/>
        <v>0</v>
      </c>
      <c r="K216" s="56">
        <f t="shared" si="44"/>
        <v>0</v>
      </c>
      <c r="L216" s="56">
        <f t="shared" si="44"/>
        <v>0</v>
      </c>
      <c r="M216" s="56">
        <f t="shared" si="44"/>
        <v>0</v>
      </c>
      <c r="N216" s="22"/>
    </row>
    <row r="217" spans="1:14" s="41" customFormat="1" ht="19.5" hidden="1" customHeight="1">
      <c r="A217" s="50"/>
      <c r="B217" s="35" t="s">
        <v>61</v>
      </c>
      <c r="C217" s="52"/>
      <c r="D217" s="52"/>
      <c r="E217" s="52"/>
      <c r="F217" s="52"/>
      <c r="G217" s="202"/>
      <c r="H217" s="52"/>
      <c r="I217" s="52"/>
      <c r="J217" s="52"/>
      <c r="K217" s="52"/>
      <c r="L217" s="52"/>
      <c r="M217" s="52"/>
      <c r="N217" s="54"/>
    </row>
    <row r="218" spans="1:14" s="41" customFormat="1" ht="19.5" hidden="1" customHeight="1">
      <c r="A218" s="50"/>
      <c r="B218" s="16" t="s">
        <v>42</v>
      </c>
      <c r="C218" s="52"/>
      <c r="D218" s="52"/>
      <c r="E218" s="52"/>
      <c r="F218" s="52"/>
      <c r="G218" s="202"/>
      <c r="H218" s="52"/>
      <c r="I218" s="52"/>
      <c r="J218" s="52"/>
      <c r="K218" s="52"/>
      <c r="L218" s="52"/>
      <c r="M218" s="52"/>
      <c r="N218" s="55"/>
    </row>
    <row r="219" spans="1:14" s="41" customFormat="1" ht="19.5" hidden="1" customHeight="1">
      <c r="A219" s="50"/>
      <c r="B219" s="23" t="s">
        <v>62</v>
      </c>
      <c r="C219" s="64">
        <f>'A3BIS - STUDII SI PROIECTE 2024'!D49</f>
        <v>0</v>
      </c>
      <c r="D219" s="64">
        <f>'A3BIS - STUDII SI PROIECTE 2024'!E49</f>
        <v>0</v>
      </c>
      <c r="E219" s="64">
        <f>'A3BIS - STUDII SI PROIECTE 2024'!F49</f>
        <v>0</v>
      </c>
      <c r="F219" s="64">
        <f>'A3BIS - STUDII SI PROIECTE 2024'!G49</f>
        <v>0</v>
      </c>
      <c r="G219" s="64">
        <f>'A3BIS - STUDII SI PROIECTE 2024'!H49</f>
        <v>0</v>
      </c>
      <c r="H219" s="64">
        <f>'A3BIS - STUDII SI PROIECTE 2024'!I49</f>
        <v>0</v>
      </c>
      <c r="I219" s="64">
        <f>'A3BIS - STUDII SI PROIECTE 2024'!J49</f>
        <v>0</v>
      </c>
      <c r="J219" s="64">
        <f>'A3BIS - STUDII SI PROIECTE 2024'!K49</f>
        <v>0</v>
      </c>
      <c r="K219" s="64">
        <f>'A3BIS - STUDII SI PROIECTE 2024'!L49</f>
        <v>0</v>
      </c>
      <c r="L219" s="64">
        <f>'A3BIS - STUDII SI PROIECTE 2024'!M49</f>
        <v>0</v>
      </c>
      <c r="M219" s="64">
        <f>'A3BIS - STUDII SI PROIECTE 2024'!N49</f>
        <v>0</v>
      </c>
      <c r="N219" s="55"/>
    </row>
    <row r="220" spans="1:14" s="41" customFormat="1" ht="19.5" hidden="1" customHeight="1">
      <c r="A220" s="43"/>
      <c r="B220" s="23" t="s">
        <v>155</v>
      </c>
      <c r="C220" s="1">
        <f>'A3 BIS - DOTARI 2024'!D54</f>
        <v>0</v>
      </c>
      <c r="D220" s="1">
        <f>'A3 BIS - DOTARI 2024'!E54</f>
        <v>0</v>
      </c>
      <c r="E220" s="1">
        <f>'A3 BIS - DOTARI 2024'!F54</f>
        <v>0</v>
      </c>
      <c r="F220" s="1">
        <f>'A3 BIS - DOTARI 2024'!G54</f>
        <v>0</v>
      </c>
      <c r="G220" s="1">
        <f>'A3 BIS - DOTARI 2024'!H54</f>
        <v>0</v>
      </c>
      <c r="H220" s="1">
        <f>'A3 BIS - DOTARI 2024'!I54</f>
        <v>0</v>
      </c>
      <c r="I220" s="1">
        <f>'A3 BIS - DOTARI 2024'!J54</f>
        <v>0</v>
      </c>
      <c r="J220" s="1">
        <f>'A3 BIS - DOTARI 2024'!K54</f>
        <v>0</v>
      </c>
      <c r="K220" s="1">
        <f>'A3 BIS - DOTARI 2024'!L54</f>
        <v>0</v>
      </c>
      <c r="L220" s="1">
        <f>'A3 BIS - DOTARI 2024'!M54</f>
        <v>0</v>
      </c>
      <c r="M220" s="1">
        <f>'A3 BIS - DOTARI 2024'!N54</f>
        <v>0</v>
      </c>
      <c r="N220" s="55"/>
    </row>
    <row r="221" spans="1:14" s="41" customFormat="1" ht="12.75" hidden="1" customHeight="1">
      <c r="A221" s="43"/>
      <c r="B221" s="23"/>
      <c r="C221" s="1"/>
      <c r="D221" s="1"/>
      <c r="E221" s="1"/>
      <c r="F221" s="1"/>
      <c r="G221" s="46"/>
      <c r="H221" s="1"/>
      <c r="I221" s="1"/>
      <c r="J221" s="1"/>
      <c r="K221" s="1"/>
      <c r="L221" s="1"/>
      <c r="M221" s="1"/>
      <c r="N221" s="55"/>
    </row>
    <row r="222" spans="1:14" s="41" customFormat="1" ht="12.75" hidden="1" customHeight="1">
      <c r="A222" s="43"/>
      <c r="B222" s="23"/>
      <c r="C222" s="1"/>
      <c r="D222" s="1"/>
      <c r="E222" s="1"/>
      <c r="F222" s="1"/>
      <c r="G222" s="46"/>
      <c r="H222" s="1"/>
      <c r="I222" s="1"/>
      <c r="J222" s="1"/>
      <c r="K222" s="1"/>
      <c r="L222" s="1"/>
      <c r="M222" s="1"/>
      <c r="N222" s="55"/>
    </row>
    <row r="223" spans="1:14" s="41" customFormat="1" ht="27" customHeight="1">
      <c r="A223" s="277"/>
      <c r="B223" s="138" t="s">
        <v>186</v>
      </c>
      <c r="C223" s="9" t="s">
        <v>187</v>
      </c>
      <c r="D223" s="9"/>
      <c r="E223" s="9"/>
      <c r="F223" s="9"/>
      <c r="G223" s="9"/>
      <c r="H223" s="6"/>
      <c r="I223" s="6"/>
      <c r="J223" s="6"/>
      <c r="K223" s="6"/>
      <c r="L223" s="49"/>
      <c r="M223" s="6" t="s">
        <v>41</v>
      </c>
      <c r="N223" s="22"/>
    </row>
    <row r="224" spans="1:14" s="41" customFormat="1" ht="12" customHeight="1">
      <c r="A224" s="277"/>
      <c r="B224" s="138"/>
      <c r="C224" s="9"/>
      <c r="D224" s="9"/>
      <c r="E224" s="9"/>
      <c r="F224" s="9"/>
      <c r="G224" s="202"/>
      <c r="H224" s="202"/>
      <c r="I224" s="202"/>
      <c r="J224" s="202"/>
      <c r="K224" s="52"/>
      <c r="L224" s="202"/>
      <c r="M224" s="52"/>
      <c r="N224" s="22"/>
    </row>
    <row r="225" spans="1:14" s="41" customFormat="1" ht="21" customHeight="1">
      <c r="A225" s="50"/>
      <c r="B225" s="16" t="s">
        <v>42</v>
      </c>
      <c r="C225" s="58">
        <f t="shared" ref="C225:M225" si="45">C228+C235+C241</f>
        <v>13029</v>
      </c>
      <c r="D225" s="58">
        <f t="shared" si="45"/>
        <v>29353</v>
      </c>
      <c r="E225" s="58">
        <f t="shared" si="45"/>
        <v>10503</v>
      </c>
      <c r="F225" s="58">
        <f t="shared" si="45"/>
        <v>18850</v>
      </c>
      <c r="G225" s="58">
        <f t="shared" si="45"/>
        <v>13655</v>
      </c>
      <c r="H225" s="58">
        <f t="shared" si="45"/>
        <v>0</v>
      </c>
      <c r="I225" s="58">
        <f t="shared" si="45"/>
        <v>13655</v>
      </c>
      <c r="J225" s="58">
        <f t="shared" si="45"/>
        <v>0</v>
      </c>
      <c r="K225" s="58">
        <f t="shared" si="45"/>
        <v>0</v>
      </c>
      <c r="L225" s="58">
        <f t="shared" si="45"/>
        <v>0</v>
      </c>
      <c r="M225" s="58">
        <f t="shared" si="45"/>
        <v>0</v>
      </c>
      <c r="N225" s="22"/>
    </row>
    <row r="226" spans="1:14" s="41" customFormat="1" ht="21" customHeight="1">
      <c r="A226" s="50"/>
      <c r="B226" s="23"/>
      <c r="C226" s="58">
        <f t="shared" ref="C226:M226" si="46">C229+C236+C242</f>
        <v>9311</v>
      </c>
      <c r="D226" s="58">
        <f t="shared" si="46"/>
        <v>23732</v>
      </c>
      <c r="E226" s="58">
        <f t="shared" si="46"/>
        <v>8634</v>
      </c>
      <c r="F226" s="58">
        <f t="shared" si="46"/>
        <v>15098</v>
      </c>
      <c r="G226" s="58">
        <f t="shared" si="46"/>
        <v>11040</v>
      </c>
      <c r="H226" s="58">
        <f t="shared" si="46"/>
        <v>0</v>
      </c>
      <c r="I226" s="58">
        <f t="shared" si="46"/>
        <v>11040</v>
      </c>
      <c r="J226" s="58">
        <f t="shared" si="46"/>
        <v>0</v>
      </c>
      <c r="K226" s="58">
        <f t="shared" si="46"/>
        <v>0</v>
      </c>
      <c r="L226" s="58">
        <f t="shared" si="46"/>
        <v>0</v>
      </c>
      <c r="M226" s="58">
        <f t="shared" si="46"/>
        <v>0</v>
      </c>
      <c r="N226" s="22"/>
    </row>
    <row r="227" spans="1:14" s="41" customFormat="1" ht="10.5" customHeight="1">
      <c r="A227" s="50"/>
      <c r="B227" s="23"/>
      <c r="C227" s="52"/>
      <c r="D227" s="52"/>
      <c r="E227" s="52"/>
      <c r="F227" s="52"/>
      <c r="G227" s="202"/>
      <c r="H227" s="202"/>
      <c r="I227" s="202"/>
      <c r="J227" s="202"/>
      <c r="K227" s="52"/>
      <c r="L227" s="202"/>
      <c r="M227" s="52"/>
      <c r="N227" s="22"/>
    </row>
    <row r="228" spans="1:14" s="41" customFormat="1" ht="18" customHeight="1">
      <c r="A228" s="50" t="s">
        <v>70</v>
      </c>
      <c r="B228" s="34" t="s">
        <v>43</v>
      </c>
      <c r="C228" s="56">
        <f>C232</f>
        <v>13029</v>
      </c>
      <c r="D228" s="56">
        <f t="shared" ref="D228:M229" si="47">D232</f>
        <v>29353</v>
      </c>
      <c r="E228" s="56">
        <f t="shared" si="47"/>
        <v>10503</v>
      </c>
      <c r="F228" s="56">
        <f t="shared" si="47"/>
        <v>18850</v>
      </c>
      <c r="G228" s="274">
        <f t="shared" si="47"/>
        <v>13655</v>
      </c>
      <c r="H228" s="56">
        <f t="shared" si="47"/>
        <v>0</v>
      </c>
      <c r="I228" s="56">
        <f t="shared" si="47"/>
        <v>13655</v>
      </c>
      <c r="J228" s="56">
        <f t="shared" si="47"/>
        <v>0</v>
      </c>
      <c r="K228" s="56">
        <f t="shared" si="47"/>
        <v>0</v>
      </c>
      <c r="L228" s="56">
        <f t="shared" si="47"/>
        <v>0</v>
      </c>
      <c r="M228" s="56">
        <f t="shared" si="47"/>
        <v>0</v>
      </c>
      <c r="N228" s="22"/>
    </row>
    <row r="229" spans="1:14" s="41" customFormat="1" ht="18" customHeight="1">
      <c r="A229" s="50"/>
      <c r="B229" s="35" t="s">
        <v>34</v>
      </c>
      <c r="C229" s="56">
        <f>C233</f>
        <v>9311</v>
      </c>
      <c r="D229" s="56">
        <f t="shared" si="47"/>
        <v>23732</v>
      </c>
      <c r="E229" s="56">
        <f t="shared" si="47"/>
        <v>8634</v>
      </c>
      <c r="F229" s="56">
        <f t="shared" si="47"/>
        <v>15098</v>
      </c>
      <c r="G229" s="274">
        <f t="shared" si="47"/>
        <v>11040</v>
      </c>
      <c r="H229" s="56">
        <f t="shared" si="47"/>
        <v>0</v>
      </c>
      <c r="I229" s="56">
        <f t="shared" si="47"/>
        <v>11040</v>
      </c>
      <c r="J229" s="56">
        <f t="shared" si="47"/>
        <v>0</v>
      </c>
      <c r="K229" s="56">
        <f t="shared" si="47"/>
        <v>0</v>
      </c>
      <c r="L229" s="56">
        <f t="shared" si="47"/>
        <v>0</v>
      </c>
      <c r="M229" s="56">
        <f t="shared" si="47"/>
        <v>0</v>
      </c>
      <c r="N229" s="22"/>
    </row>
    <row r="230" spans="1:14" s="41" customFormat="1" ht="17.25" customHeight="1">
      <c r="A230" s="50"/>
      <c r="B230" s="32" t="s">
        <v>159</v>
      </c>
      <c r="C230" s="52"/>
      <c r="D230" s="52"/>
      <c r="E230" s="52"/>
      <c r="F230" s="52"/>
      <c r="G230" s="202"/>
      <c r="H230" s="52"/>
      <c r="I230" s="52"/>
      <c r="J230" s="52"/>
      <c r="K230" s="52"/>
      <c r="L230" s="52"/>
      <c r="M230" s="52"/>
      <c r="N230" s="22"/>
    </row>
    <row r="231" spans="1:14" s="41" customFormat="1" ht="10.5" customHeight="1">
      <c r="A231" s="50"/>
      <c r="B231" s="32"/>
      <c r="C231" s="52"/>
      <c r="D231" s="52"/>
      <c r="E231" s="52"/>
      <c r="F231" s="52"/>
      <c r="G231" s="202"/>
      <c r="H231" s="52"/>
      <c r="I231" s="52"/>
      <c r="J231" s="52"/>
      <c r="K231" s="52"/>
      <c r="L231" s="52"/>
      <c r="M231" s="52"/>
      <c r="N231" s="22"/>
    </row>
    <row r="232" spans="1:14" s="41" customFormat="1" ht="21" customHeight="1">
      <c r="A232" s="53">
        <v>1</v>
      </c>
      <c r="B232" s="192" t="s">
        <v>188</v>
      </c>
      <c r="C232" s="2">
        <v>13029</v>
      </c>
      <c r="D232" s="2">
        <v>29353</v>
      </c>
      <c r="E232" s="2">
        <f>4+4262+6237</f>
        <v>10503</v>
      </c>
      <c r="F232" s="2">
        <f>D232-E232</f>
        <v>18850</v>
      </c>
      <c r="G232" s="58">
        <f>SUM(H232:M232)</f>
        <v>13655</v>
      </c>
      <c r="H232" s="2"/>
      <c r="I232" s="2">
        <f>11178+2477</f>
        <v>13655</v>
      </c>
      <c r="J232" s="2"/>
      <c r="K232" s="2"/>
      <c r="L232" s="2"/>
      <c r="M232" s="42"/>
      <c r="N232" s="22" t="s">
        <v>153</v>
      </c>
    </row>
    <row r="233" spans="1:14" s="41" customFormat="1" ht="21" customHeight="1">
      <c r="A233" s="53"/>
      <c r="B233" s="162" t="s">
        <v>189</v>
      </c>
      <c r="C233" s="2">
        <v>9311</v>
      </c>
      <c r="D233" s="2">
        <v>23732</v>
      </c>
      <c r="E233" s="2">
        <f>4132+6191-1689</f>
        <v>8634</v>
      </c>
      <c r="F233" s="2">
        <f>D233-E233</f>
        <v>15098</v>
      </c>
      <c r="G233" s="58">
        <f>SUM(H233:M233)</f>
        <v>11040</v>
      </c>
      <c r="H233" s="2"/>
      <c r="I233" s="2">
        <f>9037+2003</f>
        <v>11040</v>
      </c>
      <c r="J233" s="2"/>
      <c r="K233" s="2"/>
      <c r="L233" s="340"/>
      <c r="M233" s="42"/>
      <c r="N233" s="24"/>
    </row>
    <row r="234" spans="1:14" s="41" customFormat="1" ht="12.75" customHeight="1">
      <c r="A234" s="50"/>
      <c r="B234" s="32"/>
      <c r="C234" s="52"/>
      <c r="D234" s="52"/>
      <c r="E234" s="52"/>
      <c r="F234" s="52"/>
      <c r="G234" s="202"/>
      <c r="H234" s="52"/>
      <c r="I234" s="52"/>
      <c r="J234" s="52"/>
      <c r="K234" s="52"/>
      <c r="L234" s="52"/>
      <c r="M234" s="52"/>
      <c r="N234" s="22"/>
    </row>
    <row r="235" spans="1:14" s="41" customFormat="1" ht="18" customHeight="1">
      <c r="A235" s="8" t="s">
        <v>35</v>
      </c>
      <c r="B235" s="34" t="s">
        <v>43</v>
      </c>
      <c r="C235" s="51"/>
      <c r="D235" s="51"/>
      <c r="E235" s="51"/>
      <c r="F235" s="51"/>
      <c r="G235" s="58"/>
      <c r="H235" s="51"/>
      <c r="I235" s="51"/>
      <c r="J235" s="51"/>
      <c r="K235" s="51"/>
      <c r="L235" s="51"/>
      <c r="M235" s="51"/>
      <c r="N235" s="22"/>
    </row>
    <row r="236" spans="1:14" s="41" customFormat="1" ht="18" customHeight="1">
      <c r="A236" s="50"/>
      <c r="B236" s="35" t="s">
        <v>36</v>
      </c>
      <c r="C236" s="51"/>
      <c r="D236" s="51"/>
      <c r="E236" s="51"/>
      <c r="F236" s="51"/>
      <c r="G236" s="58"/>
      <c r="H236" s="51"/>
      <c r="I236" s="51"/>
      <c r="J236" s="51"/>
      <c r="K236" s="51"/>
      <c r="L236" s="51"/>
      <c r="M236" s="51"/>
      <c r="N236" s="22"/>
    </row>
    <row r="237" spans="1:14" s="41" customFormat="1" ht="14.25" customHeight="1">
      <c r="A237" s="50"/>
      <c r="B237" s="32"/>
      <c r="C237" s="52"/>
      <c r="D237" s="52"/>
      <c r="E237" s="52"/>
      <c r="F237" s="52"/>
      <c r="G237" s="202"/>
      <c r="H237" s="52"/>
      <c r="I237" s="52"/>
      <c r="J237" s="52"/>
      <c r="K237" s="52"/>
      <c r="L237" s="52"/>
      <c r="M237" s="52"/>
      <c r="N237" s="22"/>
    </row>
    <row r="238" spans="1:14" s="41" customFormat="1" ht="15.75" customHeight="1">
      <c r="A238" s="50">
        <v>1</v>
      </c>
      <c r="B238" s="62"/>
      <c r="C238" s="51">
        <v>0</v>
      </c>
      <c r="D238" s="51">
        <v>0</v>
      </c>
      <c r="E238" s="51">
        <v>0</v>
      </c>
      <c r="F238" s="2">
        <f>D238-E238</f>
        <v>0</v>
      </c>
      <c r="G238" s="58">
        <f>SUM(H238:M238)</f>
        <v>0</v>
      </c>
      <c r="H238" s="51"/>
      <c r="I238" s="51"/>
      <c r="J238" s="51"/>
      <c r="K238" s="51"/>
      <c r="L238" s="51">
        <v>0</v>
      </c>
      <c r="M238" s="51"/>
      <c r="N238" s="22"/>
    </row>
    <row r="239" spans="1:14" s="41" customFormat="1" ht="15.75" customHeight="1">
      <c r="A239" s="50"/>
      <c r="B239" s="32"/>
      <c r="C239" s="51">
        <v>0</v>
      </c>
      <c r="D239" s="51">
        <v>0</v>
      </c>
      <c r="E239" s="51">
        <v>0</v>
      </c>
      <c r="F239" s="2">
        <f>D239-E239</f>
        <v>0</v>
      </c>
      <c r="G239" s="58">
        <f>SUM(H239:M239)</f>
        <v>0</v>
      </c>
      <c r="H239" s="51"/>
      <c r="I239" s="51"/>
      <c r="J239" s="51"/>
      <c r="K239" s="51"/>
      <c r="L239" s="51">
        <v>0</v>
      </c>
      <c r="M239" s="51"/>
      <c r="N239" s="22"/>
    </row>
    <row r="240" spans="1:14" s="41" customFormat="1" ht="15" customHeight="1">
      <c r="A240" s="50"/>
      <c r="B240" s="32"/>
      <c r="C240" s="52"/>
      <c r="D240" s="52"/>
      <c r="E240" s="52"/>
      <c r="F240" s="1"/>
      <c r="G240" s="202"/>
      <c r="H240" s="52"/>
      <c r="I240" s="52"/>
      <c r="J240" s="52"/>
      <c r="K240" s="52"/>
      <c r="L240" s="52"/>
      <c r="M240" s="52"/>
      <c r="N240" s="22"/>
    </row>
    <row r="241" spans="1:14" s="41" customFormat="1" ht="18" customHeight="1">
      <c r="A241" s="50" t="s">
        <v>37</v>
      </c>
      <c r="B241" s="280" t="s">
        <v>60</v>
      </c>
      <c r="C241" s="51">
        <f>C244+C245</f>
        <v>0</v>
      </c>
      <c r="D241" s="51">
        <f t="shared" ref="D241:M241" si="48">D244+D245</f>
        <v>0</v>
      </c>
      <c r="E241" s="51">
        <f t="shared" si="48"/>
        <v>0</v>
      </c>
      <c r="F241" s="51">
        <f t="shared" si="48"/>
        <v>0</v>
      </c>
      <c r="G241" s="58">
        <f t="shared" si="48"/>
        <v>0</v>
      </c>
      <c r="H241" s="51">
        <f t="shared" si="48"/>
        <v>0</v>
      </c>
      <c r="I241" s="51">
        <f t="shared" si="48"/>
        <v>0</v>
      </c>
      <c r="J241" s="51">
        <f t="shared" si="48"/>
        <v>0</v>
      </c>
      <c r="K241" s="51">
        <f t="shared" si="48"/>
        <v>0</v>
      </c>
      <c r="L241" s="51">
        <f t="shared" si="48"/>
        <v>0</v>
      </c>
      <c r="M241" s="51">
        <f t="shared" si="48"/>
        <v>0</v>
      </c>
      <c r="N241" s="22"/>
    </row>
    <row r="242" spans="1:14" s="41" customFormat="1" ht="18" customHeight="1">
      <c r="A242" s="50"/>
      <c r="B242" s="35" t="s">
        <v>61</v>
      </c>
      <c r="C242" s="52"/>
      <c r="D242" s="52"/>
      <c r="E242" s="52"/>
      <c r="F242" s="52"/>
      <c r="G242" s="202"/>
      <c r="H242" s="52"/>
      <c r="I242" s="52"/>
      <c r="J242" s="52"/>
      <c r="K242" s="52"/>
      <c r="L242" s="52"/>
      <c r="M242" s="52"/>
      <c r="N242" s="54"/>
    </row>
    <row r="243" spans="1:14" s="41" customFormat="1" ht="18" customHeight="1">
      <c r="A243" s="50"/>
      <c r="B243" s="16" t="s">
        <v>42</v>
      </c>
      <c r="C243" s="52"/>
      <c r="D243" s="52"/>
      <c r="E243" s="52"/>
      <c r="F243" s="52"/>
      <c r="G243" s="202"/>
      <c r="H243" s="52"/>
      <c r="I243" s="52"/>
      <c r="J243" s="52"/>
      <c r="K243" s="52"/>
      <c r="L243" s="52"/>
      <c r="M243" s="52"/>
      <c r="N243" s="55"/>
    </row>
    <row r="244" spans="1:14" s="41" customFormat="1" ht="18" customHeight="1">
      <c r="A244" s="50"/>
      <c r="B244" s="23" t="s">
        <v>62</v>
      </c>
      <c r="C244" s="52">
        <f>'A3BIS - STUDII SI PROIECTE 2024'!D54</f>
        <v>0</v>
      </c>
      <c r="D244" s="52">
        <f>'A3BIS - STUDII SI PROIECTE 2024'!E54</f>
        <v>0</v>
      </c>
      <c r="E244" s="52">
        <f>'A3BIS - STUDII SI PROIECTE 2024'!F54</f>
        <v>0</v>
      </c>
      <c r="F244" s="52">
        <f>'A3BIS - STUDII SI PROIECTE 2024'!G54</f>
        <v>0</v>
      </c>
      <c r="G244" s="52">
        <f>'A3BIS - STUDII SI PROIECTE 2024'!H54</f>
        <v>0</v>
      </c>
      <c r="H244" s="52">
        <f>'A3BIS - STUDII SI PROIECTE 2024'!I54</f>
        <v>0</v>
      </c>
      <c r="I244" s="52">
        <f>'A3BIS - STUDII SI PROIECTE 2024'!J54</f>
        <v>0</v>
      </c>
      <c r="J244" s="52">
        <f>'A3BIS - STUDII SI PROIECTE 2024'!K54</f>
        <v>0</v>
      </c>
      <c r="K244" s="52">
        <f>'A3BIS - STUDII SI PROIECTE 2024'!L54</f>
        <v>0</v>
      </c>
      <c r="L244" s="52">
        <f>'A3BIS - STUDII SI PROIECTE 2024'!M54</f>
        <v>0</v>
      </c>
      <c r="M244" s="52">
        <f>'A3BIS - STUDII SI PROIECTE 2024'!N54</f>
        <v>0</v>
      </c>
      <c r="N244" s="55"/>
    </row>
    <row r="245" spans="1:14" s="41" customFormat="1" ht="18" customHeight="1">
      <c r="A245" s="43"/>
      <c r="B245" s="23" t="s">
        <v>155</v>
      </c>
      <c r="C245" s="1">
        <f>'A3 BIS - DOTARI 2024'!D59</f>
        <v>0</v>
      </c>
      <c r="D245" s="1">
        <f>'A3 BIS - DOTARI 2024'!E59</f>
        <v>0</v>
      </c>
      <c r="E245" s="1">
        <f>'A3 BIS - DOTARI 2024'!F59</f>
        <v>0</v>
      </c>
      <c r="F245" s="1">
        <f>'A3 BIS - DOTARI 2024'!G59</f>
        <v>0</v>
      </c>
      <c r="G245" s="1">
        <f>'A3 BIS - DOTARI 2024'!H59</f>
        <v>0</v>
      </c>
      <c r="H245" s="1">
        <f>'A3 BIS - DOTARI 2024'!I59</f>
        <v>0</v>
      </c>
      <c r="I245" s="1">
        <f>'A3 BIS - DOTARI 2024'!J59</f>
        <v>0</v>
      </c>
      <c r="J245" s="1">
        <f>'A3 BIS - DOTARI 2024'!K59</f>
        <v>0</v>
      </c>
      <c r="K245" s="1">
        <f>'A3 BIS - DOTARI 2024'!L59</f>
        <v>0</v>
      </c>
      <c r="L245" s="1">
        <f>'A3 BIS - DOTARI 2024'!M59</f>
        <v>0</v>
      </c>
      <c r="M245" s="1">
        <f>'A3 BIS - DOTARI 2024'!N59</f>
        <v>0</v>
      </c>
      <c r="N245" s="55"/>
    </row>
    <row r="246" spans="1:14" s="41" customFormat="1" ht="21.75" customHeight="1">
      <c r="A246" s="43"/>
      <c r="B246" s="23"/>
      <c r="C246" s="1"/>
      <c r="D246" s="1"/>
      <c r="E246" s="1"/>
      <c r="F246" s="1"/>
      <c r="G246" s="46"/>
      <c r="H246" s="1"/>
      <c r="I246" s="1"/>
      <c r="J246" s="1"/>
      <c r="K246" s="1"/>
      <c r="L246" s="1"/>
      <c r="M246" s="1"/>
      <c r="N246" s="55"/>
    </row>
    <row r="247" spans="1:14" s="41" customFormat="1" ht="31.5" customHeight="1">
      <c r="A247" s="277"/>
      <c r="B247" s="138" t="s">
        <v>190</v>
      </c>
      <c r="C247" s="9" t="s">
        <v>191</v>
      </c>
      <c r="D247" s="9"/>
      <c r="E247" s="9"/>
      <c r="F247" s="9"/>
      <c r="G247" s="9"/>
      <c r="H247" s="9"/>
      <c r="I247" s="9"/>
      <c r="J247" s="9"/>
      <c r="K247" s="9"/>
      <c r="L247" s="104"/>
      <c r="M247" s="9" t="s">
        <v>41</v>
      </c>
      <c r="N247" s="22"/>
    </row>
    <row r="248" spans="1:14" s="41" customFormat="1" ht="26.25" customHeight="1">
      <c r="A248" s="50"/>
      <c r="B248" s="16" t="s">
        <v>42</v>
      </c>
      <c r="C248" s="58">
        <f t="shared" ref="C248:M248" si="49">C251+C263+C269</f>
        <v>929255</v>
      </c>
      <c r="D248" s="58">
        <f t="shared" si="49"/>
        <v>954352</v>
      </c>
      <c r="E248" s="58">
        <f t="shared" si="49"/>
        <v>137290</v>
      </c>
      <c r="F248" s="58">
        <f t="shared" si="49"/>
        <v>817062</v>
      </c>
      <c r="G248" s="58">
        <f t="shared" si="49"/>
        <v>42805</v>
      </c>
      <c r="H248" s="58">
        <f t="shared" si="49"/>
        <v>0</v>
      </c>
      <c r="I248" s="58">
        <f t="shared" si="49"/>
        <v>42805</v>
      </c>
      <c r="J248" s="58">
        <f t="shared" si="49"/>
        <v>0</v>
      </c>
      <c r="K248" s="58">
        <f t="shared" si="49"/>
        <v>0</v>
      </c>
      <c r="L248" s="58">
        <f t="shared" si="49"/>
        <v>0</v>
      </c>
      <c r="M248" s="58">
        <f t="shared" si="49"/>
        <v>0</v>
      </c>
      <c r="N248" s="22"/>
    </row>
    <row r="249" spans="1:14" s="41" customFormat="1" ht="26.25" customHeight="1">
      <c r="A249" s="50"/>
      <c r="B249" s="23"/>
      <c r="C249" s="58">
        <f t="shared" ref="C249:M249" si="50">C252+C264+C270</f>
        <v>330371</v>
      </c>
      <c r="D249" s="58">
        <f t="shared" si="50"/>
        <v>343540</v>
      </c>
      <c r="E249" s="58">
        <f t="shared" si="50"/>
        <v>93415</v>
      </c>
      <c r="F249" s="58">
        <f t="shared" si="50"/>
        <v>250125</v>
      </c>
      <c r="G249" s="58">
        <f t="shared" si="50"/>
        <v>25397.103876677524</v>
      </c>
      <c r="H249" s="58">
        <f t="shared" si="50"/>
        <v>0</v>
      </c>
      <c r="I249" s="58">
        <f t="shared" si="50"/>
        <v>25397.103876677524</v>
      </c>
      <c r="J249" s="58">
        <f t="shared" si="50"/>
        <v>0</v>
      </c>
      <c r="K249" s="58">
        <f t="shared" si="50"/>
        <v>0</v>
      </c>
      <c r="L249" s="58">
        <f t="shared" si="50"/>
        <v>0</v>
      </c>
      <c r="M249" s="58">
        <f t="shared" si="50"/>
        <v>0</v>
      </c>
      <c r="N249" s="22"/>
    </row>
    <row r="250" spans="1:14" s="41" customFormat="1" ht="26.25" customHeight="1">
      <c r="A250" s="50"/>
      <c r="B250" s="23"/>
      <c r="C250" s="52"/>
      <c r="D250" s="52"/>
      <c r="E250" s="52"/>
      <c r="F250" s="52"/>
      <c r="G250" s="202"/>
      <c r="H250" s="202"/>
      <c r="I250" s="202"/>
      <c r="J250" s="202"/>
      <c r="K250" s="202"/>
      <c r="L250" s="202"/>
      <c r="M250" s="202"/>
      <c r="N250" s="22"/>
    </row>
    <row r="251" spans="1:14" s="41" customFormat="1" ht="21.75" customHeight="1">
      <c r="A251" s="50" t="s">
        <v>70</v>
      </c>
      <c r="B251" s="34" t="s">
        <v>43</v>
      </c>
      <c r="C251" s="56">
        <f>C255+C259</f>
        <v>186333</v>
      </c>
      <c r="D251" s="56">
        <f t="shared" ref="D251:M251" si="51">D255+D259</f>
        <v>211430</v>
      </c>
      <c r="E251" s="56">
        <f t="shared" si="51"/>
        <v>137290</v>
      </c>
      <c r="F251" s="56">
        <f t="shared" si="51"/>
        <v>74140</v>
      </c>
      <c r="G251" s="56">
        <f t="shared" si="51"/>
        <v>32070</v>
      </c>
      <c r="H251" s="56">
        <f t="shared" si="51"/>
        <v>0</v>
      </c>
      <c r="I251" s="56">
        <f t="shared" si="51"/>
        <v>32070</v>
      </c>
      <c r="J251" s="56">
        <f t="shared" si="51"/>
        <v>0</v>
      </c>
      <c r="K251" s="56">
        <f t="shared" si="51"/>
        <v>0</v>
      </c>
      <c r="L251" s="56">
        <f t="shared" si="51"/>
        <v>0</v>
      </c>
      <c r="M251" s="56">
        <f t="shared" si="51"/>
        <v>0</v>
      </c>
      <c r="N251" s="22"/>
    </row>
    <row r="252" spans="1:14" s="41" customFormat="1" ht="21.75" customHeight="1">
      <c r="A252" s="50"/>
      <c r="B252" s="35" t="s">
        <v>34</v>
      </c>
      <c r="C252" s="56">
        <f>C256</f>
        <v>102348</v>
      </c>
      <c r="D252" s="56">
        <f t="shared" ref="D252:M252" si="52">D256</f>
        <v>115517</v>
      </c>
      <c r="E252" s="56">
        <f t="shared" si="52"/>
        <v>93415</v>
      </c>
      <c r="F252" s="56">
        <f t="shared" si="52"/>
        <v>22102</v>
      </c>
      <c r="G252" s="56">
        <f t="shared" si="52"/>
        <v>22102.23994075962</v>
      </c>
      <c r="H252" s="56">
        <f t="shared" si="52"/>
        <v>0</v>
      </c>
      <c r="I252" s="56">
        <f t="shared" si="52"/>
        <v>22102.23994075962</v>
      </c>
      <c r="J252" s="56">
        <f t="shared" si="52"/>
        <v>0</v>
      </c>
      <c r="K252" s="56">
        <f t="shared" si="52"/>
        <v>0</v>
      </c>
      <c r="L252" s="56">
        <f t="shared" si="52"/>
        <v>0</v>
      </c>
      <c r="M252" s="56">
        <f t="shared" si="52"/>
        <v>0</v>
      </c>
      <c r="N252" s="22"/>
    </row>
    <row r="253" spans="1:14" s="41" customFormat="1" ht="21.75" customHeight="1">
      <c r="A253" s="50"/>
      <c r="B253" s="32" t="s">
        <v>159</v>
      </c>
      <c r="C253" s="52"/>
      <c r="D253" s="52"/>
      <c r="E253" s="52"/>
      <c r="F253" s="52"/>
      <c r="G253" s="202"/>
      <c r="H253" s="52"/>
      <c r="I253" s="52"/>
      <c r="J253" s="52"/>
      <c r="K253" s="52"/>
      <c r="L253" s="52"/>
      <c r="M253" s="52"/>
      <c r="N253" s="22"/>
    </row>
    <row r="254" spans="1:14" s="41" customFormat="1" ht="20.25" customHeight="1">
      <c r="A254" s="50"/>
      <c r="B254" s="32"/>
      <c r="C254" s="52"/>
      <c r="D254" s="52"/>
      <c r="E254" s="52"/>
      <c r="F254" s="52"/>
      <c r="G254" s="202"/>
      <c r="H254" s="52"/>
      <c r="I254" s="52"/>
      <c r="J254" s="52"/>
      <c r="K254" s="52"/>
      <c r="L254" s="52"/>
      <c r="M254" s="52"/>
      <c r="N254" s="22"/>
    </row>
    <row r="255" spans="1:14" s="41" customFormat="1" ht="71.25">
      <c r="A255" s="50">
        <v>1</v>
      </c>
      <c r="B255" s="192" t="s">
        <v>194</v>
      </c>
      <c r="C255" s="51">
        <v>116137</v>
      </c>
      <c r="D255" s="51">
        <f>C255+25097</f>
        <v>141234</v>
      </c>
      <c r="E255" s="51">
        <v>93947</v>
      </c>
      <c r="F255" s="2">
        <f>D255-E255</f>
        <v>47287</v>
      </c>
      <c r="G255" s="58">
        <f>SUM(H255:M255)</f>
        <v>25080</v>
      </c>
      <c r="H255" s="51"/>
      <c r="I255" s="51">
        <v>25080</v>
      </c>
      <c r="J255" s="51">
        <v>0</v>
      </c>
      <c r="K255" s="51"/>
      <c r="L255" s="51">
        <v>0</v>
      </c>
      <c r="M255" s="51"/>
      <c r="N255" s="22" t="s">
        <v>153</v>
      </c>
    </row>
    <row r="256" spans="1:14" s="41" customFormat="1" ht="20.25" customHeight="1">
      <c r="A256" s="50"/>
      <c r="B256" s="13" t="s">
        <v>581</v>
      </c>
      <c r="C256" s="51">
        <v>102348</v>
      </c>
      <c r="D256" s="51">
        <f>C256+5439+3000+4730</f>
        <v>115517</v>
      </c>
      <c r="E256" s="51">
        <v>93415</v>
      </c>
      <c r="F256" s="2">
        <f>D256-E256</f>
        <v>22102</v>
      </c>
      <c r="G256" s="58">
        <f>SUM(H256:M256)</f>
        <v>22102.23994075962</v>
      </c>
      <c r="H256" s="51"/>
      <c r="I256" s="51">
        <f>(C256/C255)*I255</f>
        <v>22102.23994075962</v>
      </c>
      <c r="J256" s="51">
        <v>0</v>
      </c>
      <c r="K256" s="51"/>
      <c r="L256" s="51">
        <v>0</v>
      </c>
      <c r="M256" s="51"/>
      <c r="N256" s="22"/>
    </row>
    <row r="257" spans="1:14" s="41" customFormat="1" ht="14.25" customHeight="1">
      <c r="A257" s="50"/>
      <c r="B257" s="13"/>
      <c r="C257" s="52"/>
      <c r="D257" s="52"/>
      <c r="E257" s="52"/>
      <c r="F257" s="1"/>
      <c r="G257" s="202"/>
      <c r="H257" s="52"/>
      <c r="I257" s="52"/>
      <c r="J257" s="52"/>
      <c r="K257" s="52"/>
      <c r="L257" s="52"/>
      <c r="M257" s="52"/>
      <c r="N257" s="22"/>
    </row>
    <row r="258" spans="1:14" s="41" customFormat="1" ht="14.25" customHeight="1">
      <c r="A258" s="50"/>
      <c r="B258" s="13"/>
      <c r="C258" s="52"/>
      <c r="D258" s="52"/>
      <c r="E258" s="52"/>
      <c r="F258" s="1"/>
      <c r="G258" s="202"/>
      <c r="H258" s="52"/>
      <c r="I258" s="52"/>
      <c r="J258" s="52"/>
      <c r="K258" s="52"/>
      <c r="L258" s="52"/>
      <c r="M258" s="52"/>
      <c r="N258" s="22"/>
    </row>
    <row r="259" spans="1:14" s="41" customFormat="1" ht="71.25">
      <c r="A259" s="50">
        <v>2</v>
      </c>
      <c r="B259" s="192" t="s">
        <v>196</v>
      </c>
      <c r="C259" s="51">
        <v>70196</v>
      </c>
      <c r="D259" s="51">
        <f>C259</f>
        <v>70196</v>
      </c>
      <c r="E259" s="51">
        <v>43343</v>
      </c>
      <c r="F259" s="2">
        <f>D259-E259</f>
        <v>26853</v>
      </c>
      <c r="G259" s="58">
        <f>SUM(H259:M259)</f>
        <v>6990</v>
      </c>
      <c r="H259" s="51"/>
      <c r="I259" s="51">
        <v>6990</v>
      </c>
      <c r="J259" s="51">
        <v>0</v>
      </c>
      <c r="K259" s="51"/>
      <c r="L259" s="51">
        <v>0</v>
      </c>
      <c r="M259" s="51"/>
      <c r="N259" s="22" t="s">
        <v>153</v>
      </c>
    </row>
    <row r="260" spans="1:14" s="41" customFormat="1" ht="20.25" customHeight="1">
      <c r="A260" s="50"/>
      <c r="B260" s="13" t="s">
        <v>197</v>
      </c>
      <c r="C260" s="51">
        <v>61500</v>
      </c>
      <c r="D260" s="51">
        <f>C260+400</f>
        <v>61900</v>
      </c>
      <c r="E260" s="51">
        <v>43198</v>
      </c>
      <c r="F260" s="2">
        <f>D260-E260</f>
        <v>18702</v>
      </c>
      <c r="G260" s="58">
        <f>SUM(H260:M260)</f>
        <v>6124.0668983987689</v>
      </c>
      <c r="H260" s="51"/>
      <c r="I260" s="51">
        <f>(C260/C259)*I259</f>
        <v>6124.0668983987689</v>
      </c>
      <c r="J260" s="51">
        <v>0</v>
      </c>
      <c r="K260" s="51"/>
      <c r="L260" s="51">
        <v>0</v>
      </c>
      <c r="M260" s="51"/>
      <c r="N260" s="22"/>
    </row>
    <row r="261" spans="1:14" s="41" customFormat="1" ht="18.75" customHeight="1">
      <c r="A261" s="50"/>
      <c r="B261" s="13"/>
      <c r="C261" s="52"/>
      <c r="D261" s="52"/>
      <c r="E261" s="52"/>
      <c r="F261" s="1"/>
      <c r="G261" s="202"/>
      <c r="H261" s="52"/>
      <c r="I261" s="52"/>
      <c r="J261" s="52"/>
      <c r="K261" s="52"/>
      <c r="L261" s="52"/>
      <c r="M261" s="52"/>
      <c r="N261" s="22"/>
    </row>
    <row r="262" spans="1:14" s="41" customFormat="1" ht="18.75" customHeight="1">
      <c r="A262" s="50"/>
      <c r="B262" s="140"/>
      <c r="C262" s="1"/>
      <c r="D262" s="1"/>
      <c r="E262" s="1"/>
      <c r="F262" s="1"/>
      <c r="G262" s="202"/>
      <c r="H262" s="1"/>
      <c r="I262" s="1"/>
      <c r="J262" s="1"/>
      <c r="K262" s="1"/>
      <c r="L262" s="1"/>
      <c r="M262" s="14"/>
      <c r="N262" s="22"/>
    </row>
    <row r="263" spans="1:14" s="41" customFormat="1" ht="22.5" customHeight="1">
      <c r="A263" s="8" t="s">
        <v>35</v>
      </c>
      <c r="B263" s="34" t="s">
        <v>43</v>
      </c>
      <c r="C263" s="51">
        <f>C266</f>
        <v>742922</v>
      </c>
      <c r="D263" s="51">
        <f t="shared" ref="D263:M263" si="53">D266</f>
        <v>742922</v>
      </c>
      <c r="E263" s="51">
        <f t="shared" si="53"/>
        <v>0</v>
      </c>
      <c r="F263" s="51">
        <f t="shared" si="53"/>
        <v>742922</v>
      </c>
      <c r="G263" s="51">
        <f t="shared" si="53"/>
        <v>10735</v>
      </c>
      <c r="H263" s="51">
        <f t="shared" si="53"/>
        <v>0</v>
      </c>
      <c r="I263" s="51">
        <f t="shared" si="53"/>
        <v>10735</v>
      </c>
      <c r="J263" s="51">
        <f t="shared" si="53"/>
        <v>0</v>
      </c>
      <c r="K263" s="51">
        <f t="shared" si="53"/>
        <v>0</v>
      </c>
      <c r="L263" s="51">
        <f t="shared" si="53"/>
        <v>0</v>
      </c>
      <c r="M263" s="51">
        <f t="shared" si="53"/>
        <v>0</v>
      </c>
      <c r="N263" s="22"/>
    </row>
    <row r="264" spans="1:14" s="41" customFormat="1" ht="22.5" customHeight="1">
      <c r="A264" s="50"/>
      <c r="B264" s="35" t="s">
        <v>36</v>
      </c>
      <c r="C264" s="56">
        <f>C267</f>
        <v>228023</v>
      </c>
      <c r="D264" s="56">
        <f t="shared" ref="D264:M264" si="54">D267</f>
        <v>228023</v>
      </c>
      <c r="E264" s="56">
        <f t="shared" si="54"/>
        <v>0</v>
      </c>
      <c r="F264" s="56">
        <f t="shared" si="54"/>
        <v>228023</v>
      </c>
      <c r="G264" s="56">
        <f t="shared" si="54"/>
        <v>3294.8639359179028</v>
      </c>
      <c r="H264" s="56">
        <f t="shared" si="54"/>
        <v>0</v>
      </c>
      <c r="I264" s="56">
        <f t="shared" si="54"/>
        <v>3294.8639359179028</v>
      </c>
      <c r="J264" s="56">
        <f t="shared" si="54"/>
        <v>0</v>
      </c>
      <c r="K264" s="56">
        <f t="shared" si="54"/>
        <v>0</v>
      </c>
      <c r="L264" s="56">
        <f t="shared" si="54"/>
        <v>0</v>
      </c>
      <c r="M264" s="56">
        <f t="shared" si="54"/>
        <v>0</v>
      </c>
      <c r="N264" s="22"/>
    </row>
    <row r="265" spans="1:14" s="41" customFormat="1" ht="12.75" customHeight="1">
      <c r="A265" s="50"/>
      <c r="B265" s="13"/>
      <c r="C265" s="52"/>
      <c r="D265" s="52"/>
      <c r="E265" s="52"/>
      <c r="F265" s="52"/>
      <c r="G265" s="202"/>
      <c r="H265" s="52"/>
      <c r="I265" s="52"/>
      <c r="J265" s="52"/>
      <c r="K265" s="52"/>
      <c r="L265" s="52"/>
      <c r="M265" s="52"/>
      <c r="N265" s="22"/>
    </row>
    <row r="266" spans="1:14" s="41" customFormat="1" ht="71.25">
      <c r="A266" s="50">
        <v>1</v>
      </c>
      <c r="B266" s="192" t="s">
        <v>200</v>
      </c>
      <c r="C266" s="51">
        <v>742922</v>
      </c>
      <c r="D266" s="51">
        <f>C266</f>
        <v>742922</v>
      </c>
      <c r="E266" s="51">
        <v>0</v>
      </c>
      <c r="F266" s="2">
        <f>D266-E266</f>
        <v>742922</v>
      </c>
      <c r="G266" s="58">
        <f>SUM(H266:M266)</f>
        <v>10735</v>
      </c>
      <c r="H266" s="51"/>
      <c r="I266" s="51">
        <v>10735</v>
      </c>
      <c r="J266" s="51">
        <v>0</v>
      </c>
      <c r="K266" s="51"/>
      <c r="L266" s="51">
        <v>0</v>
      </c>
      <c r="M266" s="51">
        <v>0</v>
      </c>
      <c r="N266" s="22" t="s">
        <v>153</v>
      </c>
    </row>
    <row r="267" spans="1:14" s="41" customFormat="1" ht="18" customHeight="1">
      <c r="A267" s="50"/>
      <c r="B267" s="192" t="s">
        <v>201</v>
      </c>
      <c r="C267" s="51">
        <v>228023</v>
      </c>
      <c r="D267" s="51">
        <f>C267</f>
        <v>228023</v>
      </c>
      <c r="E267" s="51">
        <v>0</v>
      </c>
      <c r="F267" s="2">
        <f>D267-E267</f>
        <v>228023</v>
      </c>
      <c r="G267" s="58">
        <f>SUM(H267:M267)</f>
        <v>3294.8639359179028</v>
      </c>
      <c r="H267" s="51"/>
      <c r="I267" s="51">
        <f>(C267/C266)*I266</f>
        <v>3294.8639359179028</v>
      </c>
      <c r="J267" s="51">
        <v>0</v>
      </c>
      <c r="K267" s="51"/>
      <c r="L267" s="51">
        <v>0</v>
      </c>
      <c r="M267" s="51">
        <v>0</v>
      </c>
      <c r="N267" s="22"/>
    </row>
    <row r="268" spans="1:14" s="41" customFormat="1" ht="8.25" customHeight="1">
      <c r="A268" s="50"/>
      <c r="B268" s="13"/>
      <c r="C268" s="52"/>
      <c r="D268" s="52"/>
      <c r="E268" s="52"/>
      <c r="F268" s="1"/>
      <c r="G268" s="202"/>
      <c r="H268" s="52"/>
      <c r="I268" s="52"/>
      <c r="J268" s="52"/>
      <c r="K268" s="52"/>
      <c r="L268" s="52"/>
      <c r="M268" s="52"/>
      <c r="N268" s="22"/>
    </row>
    <row r="269" spans="1:14" s="41" customFormat="1" ht="18.75" customHeight="1">
      <c r="A269" s="50" t="s">
        <v>37</v>
      </c>
      <c r="B269" s="34" t="s">
        <v>60</v>
      </c>
      <c r="C269" s="56">
        <f>C272+C273</f>
        <v>0</v>
      </c>
      <c r="D269" s="56">
        <f t="shared" ref="D269:M269" si="55">D272+D273</f>
        <v>0</v>
      </c>
      <c r="E269" s="56">
        <f t="shared" si="55"/>
        <v>0</v>
      </c>
      <c r="F269" s="56">
        <f t="shared" si="55"/>
        <v>0</v>
      </c>
      <c r="G269" s="274">
        <f t="shared" si="55"/>
        <v>0</v>
      </c>
      <c r="H269" s="56">
        <f t="shared" si="55"/>
        <v>0</v>
      </c>
      <c r="I269" s="56">
        <f t="shared" si="55"/>
        <v>0</v>
      </c>
      <c r="J269" s="56">
        <f t="shared" si="55"/>
        <v>0</v>
      </c>
      <c r="K269" s="56">
        <f t="shared" si="55"/>
        <v>0</v>
      </c>
      <c r="L269" s="56">
        <f t="shared" si="55"/>
        <v>0</v>
      </c>
      <c r="M269" s="56">
        <f t="shared" si="55"/>
        <v>0</v>
      </c>
      <c r="N269" s="22"/>
    </row>
    <row r="270" spans="1:14" s="41" customFormat="1" ht="18.75" customHeight="1">
      <c r="A270" s="50"/>
      <c r="B270" s="35" t="s">
        <v>61</v>
      </c>
      <c r="C270" s="52"/>
      <c r="D270" s="52"/>
      <c r="E270" s="52"/>
      <c r="F270" s="52"/>
      <c r="G270" s="202"/>
      <c r="H270" s="52"/>
      <c r="I270" s="52"/>
      <c r="J270" s="52"/>
      <c r="K270" s="52"/>
      <c r="L270" s="52"/>
      <c r="M270" s="52"/>
      <c r="N270" s="54"/>
    </row>
    <row r="271" spans="1:14" s="41" customFormat="1" ht="27.75" customHeight="1">
      <c r="A271" s="50"/>
      <c r="B271" s="16" t="s">
        <v>42</v>
      </c>
      <c r="C271" s="52"/>
      <c r="D271" s="52"/>
      <c r="E271" s="52"/>
      <c r="F271" s="52"/>
      <c r="G271" s="202"/>
      <c r="H271" s="52"/>
      <c r="I271" s="52"/>
      <c r="J271" s="52"/>
      <c r="K271" s="52"/>
      <c r="L271" s="52"/>
      <c r="M271" s="52"/>
      <c r="N271" s="55"/>
    </row>
    <row r="272" spans="1:14" s="41" customFormat="1" ht="19.5" customHeight="1">
      <c r="A272" s="50"/>
      <c r="B272" s="23" t="s">
        <v>62</v>
      </c>
      <c r="C272" s="52">
        <f>'A3BIS - STUDII SI PROIECTE 2024'!D59</f>
        <v>0</v>
      </c>
      <c r="D272" s="52">
        <f>'A3BIS - STUDII SI PROIECTE 2024'!E59</f>
        <v>0</v>
      </c>
      <c r="E272" s="52">
        <f>'A3BIS - STUDII SI PROIECTE 2024'!F59</f>
        <v>0</v>
      </c>
      <c r="F272" s="52">
        <f>'A3BIS - STUDII SI PROIECTE 2024'!G59</f>
        <v>0</v>
      </c>
      <c r="G272" s="52">
        <f>'A3BIS - STUDII SI PROIECTE 2024'!H59</f>
        <v>0</v>
      </c>
      <c r="H272" s="52">
        <f>'A3BIS - STUDII SI PROIECTE 2024'!I59</f>
        <v>0</v>
      </c>
      <c r="I272" s="52">
        <f>'A3BIS - STUDII SI PROIECTE 2024'!J59</f>
        <v>0</v>
      </c>
      <c r="J272" s="52">
        <f>'A3BIS - STUDII SI PROIECTE 2024'!K59</f>
        <v>0</v>
      </c>
      <c r="K272" s="52">
        <f>'A3BIS - STUDII SI PROIECTE 2024'!L59</f>
        <v>0</v>
      </c>
      <c r="L272" s="52">
        <f>'A3BIS - STUDII SI PROIECTE 2024'!M59</f>
        <v>0</v>
      </c>
      <c r="M272" s="52">
        <f>'A3BIS - STUDII SI PROIECTE 2024'!N59</f>
        <v>0</v>
      </c>
      <c r="N272" s="55"/>
    </row>
    <row r="273" spans="1:14" s="41" customFormat="1" ht="19.5" customHeight="1">
      <c r="A273" s="43"/>
      <c r="B273" s="23" t="s">
        <v>155</v>
      </c>
      <c r="C273" s="1">
        <f>'A3 BIS - DOTARI 2024'!D64</f>
        <v>0</v>
      </c>
      <c r="D273" s="1">
        <f>'A3 BIS - DOTARI 2024'!E64</f>
        <v>0</v>
      </c>
      <c r="E273" s="1">
        <f>'A3 BIS - DOTARI 2024'!F64</f>
        <v>0</v>
      </c>
      <c r="F273" s="1">
        <f>'A3 BIS - DOTARI 2024'!G64</f>
        <v>0</v>
      </c>
      <c r="G273" s="1">
        <f>'A3 BIS - DOTARI 2024'!H64</f>
        <v>0</v>
      </c>
      <c r="H273" s="1">
        <f>'A3 BIS - DOTARI 2024'!I64</f>
        <v>0</v>
      </c>
      <c r="I273" s="1">
        <f>'A3 BIS - DOTARI 2024'!J64</f>
        <v>0</v>
      </c>
      <c r="J273" s="1">
        <f>'A3 BIS - DOTARI 2024'!K64</f>
        <v>0</v>
      </c>
      <c r="K273" s="1">
        <f>'A3 BIS - DOTARI 2024'!L64</f>
        <v>0</v>
      </c>
      <c r="L273" s="1">
        <f>'A3 BIS - DOTARI 2024'!M64</f>
        <v>0</v>
      </c>
      <c r="M273" s="1">
        <f>'A3 BIS - DOTARI 2024'!N64</f>
        <v>0</v>
      </c>
      <c r="N273" s="55"/>
    </row>
    <row r="274" spans="1:14" s="41" customFormat="1" ht="19.5" customHeight="1">
      <c r="A274" s="43"/>
      <c r="B274" s="23"/>
      <c r="C274" s="1"/>
      <c r="D274" s="1"/>
      <c r="E274" s="1"/>
      <c r="F274" s="1"/>
      <c r="G274" s="1"/>
      <c r="H274" s="1"/>
      <c r="I274" s="1"/>
      <c r="J274" s="1"/>
      <c r="K274" s="1"/>
      <c r="L274" s="1"/>
      <c r="M274" s="1"/>
      <c r="N274" s="55"/>
    </row>
    <row r="275" spans="1:14" s="41" customFormat="1" ht="19.5" customHeight="1">
      <c r="A275" s="43"/>
      <c r="B275" s="23"/>
      <c r="C275" s="1"/>
      <c r="D275" s="1"/>
      <c r="E275" s="1"/>
      <c r="F275" s="1"/>
      <c r="G275" s="1"/>
      <c r="H275" s="1"/>
      <c r="I275" s="1"/>
      <c r="J275" s="1"/>
      <c r="K275" s="1"/>
      <c r="L275" s="1"/>
      <c r="M275" s="1"/>
      <c r="N275" s="55"/>
    </row>
    <row r="276" spans="1:14" s="41" customFormat="1" ht="19.5" customHeight="1">
      <c r="A276" s="43"/>
      <c r="B276" s="23"/>
      <c r="C276" s="1"/>
      <c r="D276" s="1"/>
      <c r="E276" s="1"/>
      <c r="F276" s="1"/>
      <c r="G276" s="1"/>
      <c r="H276" s="1"/>
      <c r="I276" s="1"/>
      <c r="J276" s="1"/>
      <c r="K276" s="1"/>
      <c r="L276" s="1"/>
      <c r="M276" s="1"/>
      <c r="N276" s="55"/>
    </row>
    <row r="277" spans="1:14" s="41" customFormat="1" ht="19.5" customHeight="1">
      <c r="A277" s="43"/>
      <c r="B277" s="23"/>
      <c r="C277" s="1"/>
      <c r="D277" s="1"/>
      <c r="E277" s="1"/>
      <c r="F277" s="1"/>
      <c r="G277" s="1"/>
      <c r="H277" s="1"/>
      <c r="I277" s="1"/>
      <c r="J277" s="1"/>
      <c r="K277" s="1"/>
      <c r="L277" s="1"/>
      <c r="M277" s="1"/>
      <c r="N277" s="55"/>
    </row>
    <row r="278" spans="1:14" s="41" customFormat="1" ht="19.5" customHeight="1">
      <c r="A278" s="43"/>
      <c r="B278" s="23"/>
      <c r="C278" s="1"/>
      <c r="D278" s="1"/>
      <c r="E278" s="1"/>
      <c r="F278" s="1"/>
      <c r="G278" s="1"/>
      <c r="H278" s="1"/>
      <c r="I278" s="1"/>
      <c r="J278" s="1"/>
      <c r="K278" s="1"/>
      <c r="L278" s="1"/>
      <c r="M278" s="1"/>
      <c r="N278" s="55"/>
    </row>
    <row r="279" spans="1:14" s="41" customFormat="1" ht="19.5" customHeight="1">
      <c r="A279" s="43"/>
      <c r="B279" s="23"/>
      <c r="C279" s="1"/>
      <c r="D279" s="1"/>
      <c r="E279" s="1"/>
      <c r="F279" s="1"/>
      <c r="G279" s="1"/>
      <c r="H279" s="1"/>
      <c r="I279" s="1"/>
      <c r="J279" s="1"/>
      <c r="K279" s="1"/>
      <c r="L279" s="1"/>
      <c r="M279" s="1"/>
      <c r="N279" s="55"/>
    </row>
    <row r="280" spans="1:14" s="41" customFormat="1" ht="27.75" customHeight="1">
      <c r="A280" s="43"/>
      <c r="B280" s="23"/>
      <c r="C280" s="1"/>
      <c r="D280" s="1"/>
      <c r="E280" s="1"/>
      <c r="F280" s="1"/>
      <c r="G280" s="46"/>
      <c r="H280" s="1"/>
      <c r="I280" s="1"/>
      <c r="J280" s="1"/>
      <c r="K280" s="1"/>
      <c r="L280" s="1"/>
      <c r="M280" s="1"/>
      <c r="N280" s="55"/>
    </row>
    <row r="281" spans="1:14" s="41" customFormat="1" ht="30" customHeight="1">
      <c r="A281" s="12"/>
      <c r="B281" s="144" t="s">
        <v>202</v>
      </c>
      <c r="C281" s="13" t="s">
        <v>203</v>
      </c>
      <c r="D281" s="14"/>
      <c r="E281" s="14"/>
      <c r="F281" s="14"/>
      <c r="G281" s="46"/>
      <c r="H281" s="46"/>
      <c r="I281" s="46"/>
      <c r="J281" s="46"/>
      <c r="K281" s="46"/>
      <c r="L281" s="46"/>
      <c r="M281" s="46" t="s">
        <v>41</v>
      </c>
      <c r="N281" s="55"/>
    </row>
    <row r="282" spans="1:14" s="41" customFormat="1" ht="21.75" customHeight="1">
      <c r="A282" s="15"/>
      <c r="B282" s="16" t="s">
        <v>42</v>
      </c>
      <c r="C282" s="17">
        <f>C285+C300+C306</f>
        <v>245626</v>
      </c>
      <c r="D282" s="17">
        <f t="shared" ref="D282:M282" si="56">D285+D300+D306</f>
        <v>387918</v>
      </c>
      <c r="E282" s="17">
        <f t="shared" si="56"/>
        <v>248653</v>
      </c>
      <c r="F282" s="17">
        <f t="shared" si="56"/>
        <v>139265</v>
      </c>
      <c r="G282" s="17">
        <f t="shared" si="56"/>
        <v>25745</v>
      </c>
      <c r="H282" s="17">
        <f t="shared" si="56"/>
        <v>0</v>
      </c>
      <c r="I282" s="17">
        <f t="shared" si="56"/>
        <v>25745</v>
      </c>
      <c r="J282" s="17">
        <f t="shared" si="56"/>
        <v>0</v>
      </c>
      <c r="K282" s="17">
        <f t="shared" si="56"/>
        <v>0</v>
      </c>
      <c r="L282" s="17">
        <f t="shared" si="56"/>
        <v>0</v>
      </c>
      <c r="M282" s="17">
        <f t="shared" si="56"/>
        <v>0</v>
      </c>
      <c r="N282" s="55"/>
    </row>
    <row r="283" spans="1:14" s="41" customFormat="1" ht="21.75" customHeight="1">
      <c r="A283" s="18"/>
      <c r="B283" s="16"/>
      <c r="C283" s="17">
        <f>C286+C301+C307</f>
        <v>201192</v>
      </c>
      <c r="D283" s="17">
        <f t="shared" ref="D283:M283" si="57">D286+D301+D307</f>
        <v>325299</v>
      </c>
      <c r="E283" s="17">
        <f t="shared" si="57"/>
        <v>223965</v>
      </c>
      <c r="F283" s="17">
        <f t="shared" si="57"/>
        <v>101334</v>
      </c>
      <c r="G283" s="17">
        <f t="shared" si="57"/>
        <v>24998</v>
      </c>
      <c r="H283" s="17">
        <f t="shared" si="57"/>
        <v>0</v>
      </c>
      <c r="I283" s="17">
        <f t="shared" si="57"/>
        <v>24998</v>
      </c>
      <c r="J283" s="17">
        <f t="shared" si="57"/>
        <v>0</v>
      </c>
      <c r="K283" s="17">
        <f t="shared" si="57"/>
        <v>0</v>
      </c>
      <c r="L283" s="17">
        <f t="shared" si="57"/>
        <v>0</v>
      </c>
      <c r="M283" s="17">
        <f t="shared" si="57"/>
        <v>0</v>
      </c>
      <c r="N283" s="22"/>
    </row>
    <row r="284" spans="1:14" s="41" customFormat="1" ht="21.75" customHeight="1">
      <c r="A284" s="18"/>
      <c r="B284" s="16"/>
      <c r="C284" s="46"/>
      <c r="D284" s="46"/>
      <c r="E284" s="46"/>
      <c r="F284" s="46"/>
      <c r="G284" s="46"/>
      <c r="H284" s="46"/>
      <c r="I284" s="46"/>
      <c r="J284" s="46"/>
      <c r="K284" s="46"/>
      <c r="L284" s="46"/>
      <c r="M284" s="46"/>
      <c r="N284" s="55"/>
    </row>
    <row r="285" spans="1:14" s="41" customFormat="1" ht="21.75" customHeight="1">
      <c r="A285" s="18" t="s">
        <v>32</v>
      </c>
      <c r="B285" s="34" t="s">
        <v>33</v>
      </c>
      <c r="C285" s="2">
        <f>C288+C292+C296</f>
        <v>245623</v>
      </c>
      <c r="D285" s="2">
        <f t="shared" ref="D285:M285" si="58">D288+D292+D296</f>
        <v>387915</v>
      </c>
      <c r="E285" s="2">
        <f t="shared" si="58"/>
        <v>248653</v>
      </c>
      <c r="F285" s="2">
        <f t="shared" si="58"/>
        <v>139262</v>
      </c>
      <c r="G285" s="2">
        <f t="shared" si="58"/>
        <v>25742</v>
      </c>
      <c r="H285" s="2">
        <f t="shared" si="58"/>
        <v>0</v>
      </c>
      <c r="I285" s="2">
        <f t="shared" si="58"/>
        <v>25742</v>
      </c>
      <c r="J285" s="2">
        <f t="shared" si="58"/>
        <v>0</v>
      </c>
      <c r="K285" s="2">
        <f t="shared" si="58"/>
        <v>0</v>
      </c>
      <c r="L285" s="2">
        <f t="shared" si="58"/>
        <v>0</v>
      </c>
      <c r="M285" s="2">
        <f t="shared" si="58"/>
        <v>0</v>
      </c>
      <c r="N285" s="22"/>
    </row>
    <row r="286" spans="1:14" s="41" customFormat="1" ht="21.75" customHeight="1">
      <c r="A286" s="18"/>
      <c r="B286" s="35" t="s">
        <v>34</v>
      </c>
      <c r="C286" s="2">
        <f>C289+C293+C297</f>
        <v>201192</v>
      </c>
      <c r="D286" s="2">
        <f t="shared" ref="D286:M286" si="59">D289+D293+D297</f>
        <v>325299</v>
      </c>
      <c r="E286" s="2">
        <f t="shared" si="59"/>
        <v>223965</v>
      </c>
      <c r="F286" s="2">
        <f t="shared" si="59"/>
        <v>101334</v>
      </c>
      <c r="G286" s="2">
        <f t="shared" si="59"/>
        <v>24998</v>
      </c>
      <c r="H286" s="2">
        <f t="shared" si="59"/>
        <v>0</v>
      </c>
      <c r="I286" s="2">
        <f t="shared" si="59"/>
        <v>24998</v>
      </c>
      <c r="J286" s="2">
        <f t="shared" si="59"/>
        <v>0</v>
      </c>
      <c r="K286" s="2">
        <f t="shared" si="59"/>
        <v>0</v>
      </c>
      <c r="L286" s="2">
        <f t="shared" si="59"/>
        <v>0</v>
      </c>
      <c r="M286" s="2">
        <f t="shared" si="59"/>
        <v>0</v>
      </c>
      <c r="N286" s="55"/>
    </row>
    <row r="287" spans="1:14" s="41" customFormat="1" ht="30" customHeight="1">
      <c r="A287" s="18"/>
      <c r="B287" s="32" t="s">
        <v>204</v>
      </c>
      <c r="C287" s="1"/>
      <c r="D287" s="1"/>
      <c r="E287" s="1"/>
      <c r="F287" s="1"/>
      <c r="G287" s="46"/>
      <c r="H287" s="1"/>
      <c r="I287" s="1"/>
      <c r="J287" s="1"/>
      <c r="K287" s="1"/>
      <c r="L287" s="1"/>
      <c r="M287" s="1"/>
      <c r="N287" s="55"/>
    </row>
    <row r="288" spans="1:14" s="41" customFormat="1" ht="42.75">
      <c r="A288" s="53">
        <v>1</v>
      </c>
      <c r="B288" s="59" t="s">
        <v>205</v>
      </c>
      <c r="C288" s="2">
        <v>85967</v>
      </c>
      <c r="D288" s="2">
        <v>130039</v>
      </c>
      <c r="E288" s="2">
        <f>3515+35579+61319</f>
        <v>100413</v>
      </c>
      <c r="F288" s="2">
        <f>D288-E288</f>
        <v>29626</v>
      </c>
      <c r="G288" s="58">
        <f>SUM(H288:M288)</f>
        <v>5966</v>
      </c>
      <c r="H288" s="2"/>
      <c r="I288" s="2">
        <f>5700+266</f>
        <v>5966</v>
      </c>
      <c r="J288" s="2"/>
      <c r="K288" s="2"/>
      <c r="L288" s="2"/>
      <c r="M288" s="42"/>
      <c r="N288" s="22" t="s">
        <v>45</v>
      </c>
    </row>
    <row r="289" spans="1:14" s="41" customFormat="1" ht="28.5" customHeight="1">
      <c r="A289" s="53"/>
      <c r="B289" s="142" t="s">
        <v>206</v>
      </c>
      <c r="C289" s="2">
        <v>77031</v>
      </c>
      <c r="D289" s="2">
        <v>118384</v>
      </c>
      <c r="E289" s="2">
        <f>3220+35478+59946</f>
        <v>98644</v>
      </c>
      <c r="F289" s="2">
        <f>D289-E289</f>
        <v>19740</v>
      </c>
      <c r="G289" s="58">
        <f>SUM(H289:M289)</f>
        <v>5735</v>
      </c>
      <c r="H289" s="2"/>
      <c r="I289" s="2">
        <f>5479+256</f>
        <v>5735</v>
      </c>
      <c r="J289" s="2"/>
      <c r="K289" s="2"/>
      <c r="L289" s="2"/>
      <c r="M289" s="42"/>
      <c r="N289" s="22"/>
    </row>
    <row r="290" spans="1:14" s="41" customFormat="1" ht="13.5" customHeight="1">
      <c r="A290" s="53"/>
      <c r="B290" s="142"/>
      <c r="C290" s="1"/>
      <c r="D290" s="1"/>
      <c r="E290" s="1"/>
      <c r="F290" s="1"/>
      <c r="G290" s="202"/>
      <c r="H290" s="1"/>
      <c r="I290" s="1"/>
      <c r="J290" s="1"/>
      <c r="K290" s="1"/>
      <c r="L290" s="1"/>
      <c r="M290" s="14"/>
      <c r="N290" s="22"/>
    </row>
    <row r="291" spans="1:14" s="41" customFormat="1" ht="13.5" customHeight="1">
      <c r="A291" s="53"/>
      <c r="B291" s="60"/>
      <c r="C291" s="1"/>
      <c r="D291" s="1"/>
      <c r="E291" s="1"/>
      <c r="F291" s="1"/>
      <c r="G291" s="202"/>
      <c r="H291" s="1"/>
      <c r="I291" s="1"/>
      <c r="J291" s="1"/>
      <c r="K291" s="1"/>
      <c r="L291" s="1"/>
      <c r="M291" s="14"/>
      <c r="N291" s="22"/>
    </row>
    <row r="292" spans="1:14" s="41" customFormat="1" ht="40.5" customHeight="1">
      <c r="A292" s="53">
        <v>2</v>
      </c>
      <c r="B292" s="59" t="s">
        <v>207</v>
      </c>
      <c r="C292" s="2">
        <v>89855</v>
      </c>
      <c r="D292" s="2">
        <v>157988</v>
      </c>
      <c r="E292" s="2">
        <f>13057+23021+49125</f>
        <v>85203</v>
      </c>
      <c r="F292" s="2">
        <f>D292-E292</f>
        <v>72785</v>
      </c>
      <c r="G292" s="58">
        <f>SUM(H292:M292)</f>
        <v>11396</v>
      </c>
      <c r="H292" s="2"/>
      <c r="I292" s="2">
        <f>11100+296</f>
        <v>11396</v>
      </c>
      <c r="J292" s="2"/>
      <c r="K292" s="2"/>
      <c r="L292" s="2"/>
      <c r="M292" s="42"/>
      <c r="N292" s="22" t="s">
        <v>45</v>
      </c>
    </row>
    <row r="293" spans="1:14" s="41" customFormat="1" ht="21.75" customHeight="1">
      <c r="A293" s="53"/>
      <c r="B293" s="142" t="s">
        <v>208</v>
      </c>
      <c r="C293" s="2">
        <v>69490</v>
      </c>
      <c r="D293" s="2">
        <v>123418</v>
      </c>
      <c r="E293" s="2">
        <f>540+18087+48876</f>
        <v>67503</v>
      </c>
      <c r="F293" s="2">
        <f>D293-E293</f>
        <v>55915</v>
      </c>
      <c r="G293" s="58">
        <f>SUM(H293:M293)</f>
        <v>11293</v>
      </c>
      <c r="H293" s="2"/>
      <c r="I293" s="2">
        <f>11000+293</f>
        <v>11293</v>
      </c>
      <c r="J293" s="2"/>
      <c r="K293" s="2"/>
      <c r="L293" s="2"/>
      <c r="M293" s="42"/>
      <c r="N293" s="22"/>
    </row>
    <row r="294" spans="1:14" s="41" customFormat="1" ht="13.5" customHeight="1">
      <c r="A294" s="53"/>
      <c r="B294" s="142"/>
      <c r="C294" s="1"/>
      <c r="D294" s="1"/>
      <c r="E294" s="1"/>
      <c r="F294" s="1"/>
      <c r="G294" s="202"/>
      <c r="H294" s="1"/>
      <c r="I294" s="1"/>
      <c r="J294" s="1"/>
      <c r="K294" s="1"/>
      <c r="L294" s="1"/>
      <c r="M294" s="14"/>
      <c r="N294" s="22"/>
    </row>
    <row r="295" spans="1:14" s="41" customFormat="1" ht="13.5" customHeight="1">
      <c r="A295" s="53"/>
      <c r="B295" s="142"/>
      <c r="C295" s="1"/>
      <c r="D295" s="1"/>
      <c r="E295" s="1"/>
      <c r="F295" s="1"/>
      <c r="G295" s="202"/>
      <c r="H295" s="1"/>
      <c r="I295" s="1"/>
      <c r="J295" s="1"/>
      <c r="K295" s="1"/>
      <c r="L295" s="1"/>
      <c r="M295" s="14"/>
      <c r="N295" s="22"/>
    </row>
    <row r="296" spans="1:14" s="41" customFormat="1" ht="42" customHeight="1">
      <c r="A296" s="53">
        <v>3</v>
      </c>
      <c r="B296" s="59" t="s">
        <v>209</v>
      </c>
      <c r="C296" s="2">
        <v>69801</v>
      </c>
      <c r="D296" s="2">
        <v>99888</v>
      </c>
      <c r="E296" s="2">
        <f>164+13500+49373</f>
        <v>63037</v>
      </c>
      <c r="F296" s="2">
        <f>D296-E296</f>
        <v>36851</v>
      </c>
      <c r="G296" s="58">
        <f>SUM(H296:M296)</f>
        <v>8380</v>
      </c>
      <c r="H296" s="2"/>
      <c r="I296" s="2">
        <f>8000+380</f>
        <v>8380</v>
      </c>
      <c r="J296" s="2"/>
      <c r="K296" s="2"/>
      <c r="L296" s="2"/>
      <c r="M296" s="42"/>
      <c r="N296" s="22" t="s">
        <v>45</v>
      </c>
    </row>
    <row r="297" spans="1:14" s="41" customFormat="1" ht="29.25" customHeight="1">
      <c r="A297" s="53"/>
      <c r="B297" s="142" t="s">
        <v>210</v>
      </c>
      <c r="C297" s="2">
        <v>54671</v>
      </c>
      <c r="D297" s="2">
        <v>83497</v>
      </c>
      <c r="E297" s="2">
        <f>13434+48961-4577</f>
        <v>57818</v>
      </c>
      <c r="F297" s="2">
        <f>D297-E297</f>
        <v>25679</v>
      </c>
      <c r="G297" s="58">
        <f>SUM(H297:M297)</f>
        <v>7970</v>
      </c>
      <c r="H297" s="2"/>
      <c r="I297" s="2">
        <f>7609+361</f>
        <v>7970</v>
      </c>
      <c r="J297" s="2"/>
      <c r="K297" s="2"/>
      <c r="L297" s="2"/>
      <c r="M297" s="42"/>
      <c r="N297" s="22"/>
    </row>
    <row r="298" spans="1:14" s="41" customFormat="1" ht="15" hidden="1" customHeight="1">
      <c r="A298" s="53"/>
      <c r="B298" s="142"/>
      <c r="C298" s="1"/>
      <c r="D298" s="1"/>
      <c r="E298" s="1"/>
      <c r="F298" s="1"/>
      <c r="G298" s="202"/>
      <c r="H298" s="1"/>
      <c r="I298" s="1"/>
      <c r="J298" s="1"/>
      <c r="K298" s="1"/>
      <c r="L298" s="1"/>
      <c r="M298" s="14"/>
      <c r="N298" s="22"/>
    </row>
    <row r="299" spans="1:14" s="41" customFormat="1" ht="15" hidden="1" customHeight="1">
      <c r="A299" s="53"/>
      <c r="B299" s="142"/>
      <c r="C299" s="1"/>
      <c r="D299" s="1"/>
      <c r="E299" s="1"/>
      <c r="F299" s="1"/>
      <c r="G299" s="202"/>
      <c r="H299" s="1"/>
      <c r="I299" s="1"/>
      <c r="J299" s="1"/>
      <c r="K299" s="1"/>
      <c r="L299" s="1"/>
      <c r="M299" s="14"/>
      <c r="N299" s="22"/>
    </row>
    <row r="300" spans="1:14" ht="22.5" hidden="1" customHeight="1">
      <c r="A300" s="18" t="s">
        <v>35</v>
      </c>
      <c r="B300" s="34" t="s">
        <v>43</v>
      </c>
      <c r="C300" s="17">
        <f>C303</f>
        <v>0</v>
      </c>
      <c r="D300" s="17">
        <f t="shared" ref="D300:M300" si="60">D303</f>
        <v>0</v>
      </c>
      <c r="E300" s="17">
        <f t="shared" si="60"/>
        <v>0</v>
      </c>
      <c r="F300" s="17">
        <f t="shared" si="60"/>
        <v>0</v>
      </c>
      <c r="G300" s="17">
        <f t="shared" si="60"/>
        <v>0</v>
      </c>
      <c r="H300" s="17">
        <f t="shared" si="60"/>
        <v>0</v>
      </c>
      <c r="I300" s="17">
        <f t="shared" si="60"/>
        <v>0</v>
      </c>
      <c r="J300" s="17">
        <f t="shared" si="60"/>
        <v>0</v>
      </c>
      <c r="K300" s="17">
        <f t="shared" si="60"/>
        <v>0</v>
      </c>
      <c r="L300" s="17">
        <f t="shared" si="60"/>
        <v>0</v>
      </c>
      <c r="M300" s="17">
        <f t="shared" si="60"/>
        <v>0</v>
      </c>
    </row>
    <row r="301" spans="1:14" ht="22.5" hidden="1" customHeight="1">
      <c r="A301" s="18"/>
      <c r="B301" s="35" t="s">
        <v>36</v>
      </c>
      <c r="C301" s="17">
        <f>C304</f>
        <v>0</v>
      </c>
      <c r="D301" s="17">
        <f t="shared" ref="D301:M301" si="61">D304</f>
        <v>0</v>
      </c>
      <c r="E301" s="17">
        <f t="shared" si="61"/>
        <v>0</v>
      </c>
      <c r="F301" s="17">
        <f t="shared" si="61"/>
        <v>0</v>
      </c>
      <c r="G301" s="17">
        <f t="shared" si="61"/>
        <v>0</v>
      </c>
      <c r="H301" s="17">
        <f t="shared" si="61"/>
        <v>0</v>
      </c>
      <c r="I301" s="17">
        <f t="shared" si="61"/>
        <v>0</v>
      </c>
      <c r="J301" s="17">
        <f t="shared" si="61"/>
        <v>0</v>
      </c>
      <c r="K301" s="17">
        <f t="shared" si="61"/>
        <v>0</v>
      </c>
      <c r="L301" s="17">
        <f t="shared" si="61"/>
        <v>0</v>
      </c>
      <c r="M301" s="17">
        <f t="shared" si="61"/>
        <v>0</v>
      </c>
    </row>
    <row r="302" spans="1:14" ht="15" hidden="1" customHeight="1">
      <c r="A302" s="18"/>
      <c r="B302" s="32"/>
      <c r="C302" s="46"/>
      <c r="D302" s="46"/>
      <c r="E302" s="46"/>
      <c r="F302" s="46"/>
      <c r="G302" s="46"/>
      <c r="H302" s="46"/>
      <c r="I302" s="46"/>
      <c r="J302" s="46"/>
      <c r="K302" s="46"/>
      <c r="L302" s="46"/>
      <c r="M302" s="46"/>
    </row>
    <row r="303" spans="1:14" ht="21" hidden="1" customHeight="1">
      <c r="A303" s="53">
        <v>1</v>
      </c>
      <c r="B303" s="59"/>
      <c r="C303" s="2">
        <v>0</v>
      </c>
      <c r="D303" s="2">
        <f>C303</f>
        <v>0</v>
      </c>
      <c r="E303" s="2">
        <v>0</v>
      </c>
      <c r="F303" s="2">
        <f>D303-E303</f>
        <v>0</v>
      </c>
      <c r="G303" s="58">
        <f>SUM(H303:M303)</f>
        <v>0</v>
      </c>
      <c r="H303" s="2"/>
      <c r="I303" s="2"/>
      <c r="J303" s="2">
        <v>0</v>
      </c>
      <c r="K303" s="2"/>
      <c r="L303" s="2">
        <v>0</v>
      </c>
      <c r="M303" s="42">
        <v>0</v>
      </c>
      <c r="N303" s="22" t="s">
        <v>45</v>
      </c>
    </row>
    <row r="304" spans="1:14" ht="21" hidden="1" customHeight="1">
      <c r="A304" s="53"/>
      <c r="B304" s="142"/>
      <c r="C304" s="2">
        <v>0</v>
      </c>
      <c r="D304" s="2">
        <f>C304</f>
        <v>0</v>
      </c>
      <c r="E304" s="2">
        <v>0</v>
      </c>
      <c r="F304" s="2">
        <f>D304-E304</f>
        <v>0</v>
      </c>
      <c r="G304" s="58">
        <f>SUM(H304:M304)</f>
        <v>0</v>
      </c>
      <c r="H304" s="2"/>
      <c r="I304" s="2"/>
      <c r="J304" s="2">
        <v>0</v>
      </c>
      <c r="K304" s="2"/>
      <c r="L304" s="2">
        <v>0</v>
      </c>
      <c r="M304" s="42">
        <v>0</v>
      </c>
    </row>
    <row r="305" spans="1:15" ht="13.5" customHeight="1">
      <c r="A305" s="18"/>
      <c r="B305" s="32"/>
      <c r="C305" s="46"/>
      <c r="D305" s="46"/>
      <c r="E305" s="46"/>
      <c r="F305" s="46"/>
      <c r="G305" s="46"/>
      <c r="H305" s="46"/>
      <c r="I305" s="46"/>
      <c r="J305" s="46"/>
      <c r="K305" s="46"/>
      <c r="L305" s="46"/>
      <c r="M305" s="46"/>
    </row>
    <row r="306" spans="1:15" ht="24.75" customHeight="1">
      <c r="A306" s="18" t="s">
        <v>37</v>
      </c>
      <c r="B306" s="34" t="s">
        <v>128</v>
      </c>
      <c r="C306" s="2">
        <f>C310+C311+C312</f>
        <v>3</v>
      </c>
      <c r="D306" s="2">
        <f t="shared" ref="D306:M306" si="62">D310+D311+D312</f>
        <v>3</v>
      </c>
      <c r="E306" s="2">
        <f t="shared" si="62"/>
        <v>0</v>
      </c>
      <c r="F306" s="2">
        <f t="shared" si="62"/>
        <v>3</v>
      </c>
      <c r="G306" s="17">
        <f t="shared" si="62"/>
        <v>3</v>
      </c>
      <c r="H306" s="2">
        <f t="shared" si="62"/>
        <v>0</v>
      </c>
      <c r="I306" s="2">
        <f t="shared" si="62"/>
        <v>3</v>
      </c>
      <c r="J306" s="2">
        <f t="shared" si="62"/>
        <v>0</v>
      </c>
      <c r="K306" s="2">
        <f t="shared" si="62"/>
        <v>0</v>
      </c>
      <c r="L306" s="2">
        <f t="shared" si="62"/>
        <v>0</v>
      </c>
      <c r="M306" s="2">
        <f t="shared" si="62"/>
        <v>0</v>
      </c>
    </row>
    <row r="307" spans="1:15" ht="24.75" customHeight="1">
      <c r="A307" s="18"/>
      <c r="B307" s="35" t="s">
        <v>61</v>
      </c>
      <c r="C307" s="2">
        <v>0</v>
      </c>
      <c r="D307" s="2">
        <v>0</v>
      </c>
      <c r="E307" s="2">
        <v>0</v>
      </c>
      <c r="F307" s="2">
        <v>0</v>
      </c>
      <c r="G307" s="17">
        <v>0</v>
      </c>
      <c r="H307" s="2">
        <v>0</v>
      </c>
      <c r="I307" s="2">
        <v>0</v>
      </c>
      <c r="J307" s="2">
        <v>0</v>
      </c>
      <c r="K307" s="2">
        <v>0</v>
      </c>
      <c r="L307" s="2">
        <v>0</v>
      </c>
      <c r="M307" s="2">
        <v>0</v>
      </c>
    </row>
    <row r="308" spans="1:15" ht="15.75">
      <c r="A308" s="43"/>
      <c r="B308" s="16" t="s">
        <v>42</v>
      </c>
      <c r="C308" s="1"/>
      <c r="D308" s="1"/>
      <c r="E308" s="1"/>
      <c r="F308" s="1"/>
      <c r="G308" s="46"/>
      <c r="H308" s="1"/>
      <c r="I308" s="1"/>
      <c r="J308" s="1"/>
      <c r="K308" s="1"/>
      <c r="L308" s="1"/>
      <c r="M308" s="1"/>
    </row>
    <row r="309" spans="1:15" ht="15.75">
      <c r="A309" s="43"/>
      <c r="B309" s="16"/>
      <c r="C309" s="1"/>
      <c r="D309" s="1"/>
      <c r="E309" s="1"/>
      <c r="F309" s="1"/>
      <c r="G309" s="46"/>
      <c r="H309" s="1"/>
      <c r="I309" s="1"/>
      <c r="J309" s="1"/>
      <c r="K309" s="1"/>
      <c r="L309" s="1"/>
      <c r="M309" s="1"/>
    </row>
    <row r="310" spans="1:15" s="22" customFormat="1" ht="21" customHeight="1">
      <c r="A310" s="43"/>
      <c r="B310" s="23" t="s">
        <v>129</v>
      </c>
      <c r="C310" s="1">
        <f>'A3BIS - STUDII SI PROIECTE 2024'!D64</f>
        <v>0</v>
      </c>
      <c r="D310" s="1">
        <f>'A3BIS - STUDII SI PROIECTE 2024'!E64</f>
        <v>0</v>
      </c>
      <c r="E310" s="1">
        <f>'A3BIS - STUDII SI PROIECTE 2024'!F64</f>
        <v>0</v>
      </c>
      <c r="F310" s="1">
        <f>'A3BIS - STUDII SI PROIECTE 2024'!G64</f>
        <v>0</v>
      </c>
      <c r="G310" s="1">
        <f>'A3BIS - STUDII SI PROIECTE 2024'!H64</f>
        <v>0</v>
      </c>
      <c r="H310" s="1">
        <f>'A3BIS - STUDII SI PROIECTE 2024'!I64</f>
        <v>0</v>
      </c>
      <c r="I310" s="1">
        <f>'A3BIS - STUDII SI PROIECTE 2024'!J64</f>
        <v>0</v>
      </c>
      <c r="J310" s="1">
        <f>'A3BIS - STUDII SI PROIECTE 2024'!K64</f>
        <v>0</v>
      </c>
      <c r="K310" s="1">
        <f>'A3BIS - STUDII SI PROIECTE 2024'!L64</f>
        <v>0</v>
      </c>
      <c r="L310" s="1">
        <f>'A3BIS - STUDII SI PROIECTE 2024'!M64</f>
        <v>0</v>
      </c>
      <c r="M310" s="1">
        <f>'A3BIS - STUDII SI PROIECTE 2024'!N64</f>
        <v>0</v>
      </c>
      <c r="O310" s="131"/>
    </row>
    <row r="311" spans="1:15" s="22" customFormat="1" ht="21" customHeight="1">
      <c r="A311" s="43"/>
      <c r="B311" s="23" t="s">
        <v>155</v>
      </c>
      <c r="C311" s="1">
        <f>'A3 BIS - DOTARI 2024'!D74</f>
        <v>3</v>
      </c>
      <c r="D311" s="1">
        <f>'A3 BIS - DOTARI 2024'!E74</f>
        <v>3</v>
      </c>
      <c r="E311" s="1">
        <f>'A3 BIS - DOTARI 2024'!F74</f>
        <v>0</v>
      </c>
      <c r="F311" s="1">
        <f>'A3 BIS - DOTARI 2024'!G74</f>
        <v>3</v>
      </c>
      <c r="G311" s="1">
        <f>'A3 BIS - DOTARI 2024'!H74</f>
        <v>3</v>
      </c>
      <c r="H311" s="1">
        <f>'A3 BIS - DOTARI 2024'!I74</f>
        <v>0</v>
      </c>
      <c r="I311" s="1">
        <f>'A3 BIS - DOTARI 2024'!J74</f>
        <v>3</v>
      </c>
      <c r="J311" s="1">
        <f>'A3 BIS - DOTARI 2024'!K74</f>
        <v>0</v>
      </c>
      <c r="K311" s="1">
        <f>'A3 BIS - DOTARI 2024'!L74</f>
        <v>0</v>
      </c>
      <c r="L311" s="1">
        <f>'A3 BIS - DOTARI 2024'!M74</f>
        <v>0</v>
      </c>
      <c r="M311" s="1">
        <f>'A3 BIS - DOTARI 2024'!N74</f>
        <v>0</v>
      </c>
      <c r="O311" s="131"/>
    </row>
    <row r="312" spans="1:15" s="22" customFormat="1" ht="21" customHeight="1">
      <c r="A312" s="43"/>
      <c r="B312" s="23" t="s">
        <v>130</v>
      </c>
      <c r="C312" s="1">
        <f>'A3 BIS ALTE CHELTUIELI 2024'!D47</f>
        <v>0</v>
      </c>
      <c r="D312" s="1">
        <f>'A3 BIS ALTE CHELTUIELI 2024'!E47</f>
        <v>0</v>
      </c>
      <c r="E312" s="1">
        <f>'A3 BIS ALTE CHELTUIELI 2024'!F47</f>
        <v>0</v>
      </c>
      <c r="F312" s="1">
        <f>'A3 BIS ALTE CHELTUIELI 2024'!G47</f>
        <v>0</v>
      </c>
      <c r="G312" s="1">
        <f>'A3 BIS ALTE CHELTUIELI 2024'!H47</f>
        <v>0</v>
      </c>
      <c r="H312" s="1">
        <f>'A3 BIS ALTE CHELTUIELI 2024'!I47</f>
        <v>0</v>
      </c>
      <c r="I312" s="1">
        <f>'A3 BIS ALTE CHELTUIELI 2024'!J47</f>
        <v>0</v>
      </c>
      <c r="J312" s="1">
        <f>'A3 BIS ALTE CHELTUIELI 2024'!K47</f>
        <v>0</v>
      </c>
      <c r="K312" s="1">
        <f>'A3 BIS ALTE CHELTUIELI 2024'!L47</f>
        <v>0</v>
      </c>
      <c r="L312" s="1">
        <f>'A3 BIS ALTE CHELTUIELI 2024'!M47</f>
        <v>0</v>
      </c>
      <c r="M312" s="1">
        <f>'A3 BIS ALTE CHELTUIELI 2024'!N47</f>
        <v>0</v>
      </c>
      <c r="O312" s="131"/>
    </row>
    <row r="313" spans="1:15" s="22" customFormat="1" ht="21" hidden="1" customHeight="1">
      <c r="A313" s="43"/>
      <c r="B313" s="23"/>
      <c r="C313" s="1"/>
      <c r="D313" s="1"/>
      <c r="E313" s="1"/>
      <c r="F313" s="1"/>
      <c r="G313" s="46"/>
      <c r="H313" s="1"/>
      <c r="I313" s="1"/>
      <c r="J313" s="1"/>
      <c r="K313" s="1"/>
      <c r="L313" s="1"/>
      <c r="M313" s="1"/>
      <c r="O313" s="131"/>
    </row>
    <row r="314" spans="1:15" s="22" customFormat="1" ht="21" hidden="1" customHeight="1">
      <c r="A314" s="43"/>
      <c r="B314" s="23"/>
      <c r="C314" s="1"/>
      <c r="D314" s="1"/>
      <c r="E314" s="1"/>
      <c r="F314" s="1"/>
      <c r="G314" s="46"/>
      <c r="H314" s="1"/>
      <c r="I314" s="1"/>
      <c r="J314" s="1"/>
      <c r="K314" s="1"/>
      <c r="L314" s="1"/>
      <c r="M314" s="1"/>
      <c r="O314" s="131"/>
    </row>
    <row r="315" spans="1:15" s="22" customFormat="1" ht="21" hidden="1" customHeight="1">
      <c r="A315" s="43"/>
      <c r="B315" s="23"/>
      <c r="C315" s="1"/>
      <c r="D315" s="1"/>
      <c r="E315" s="1"/>
      <c r="F315" s="1"/>
      <c r="G315" s="46"/>
      <c r="H315" s="1"/>
      <c r="I315" s="1"/>
      <c r="J315" s="1"/>
      <c r="K315" s="1"/>
      <c r="L315" s="1"/>
      <c r="M315" s="1"/>
      <c r="O315" s="131"/>
    </row>
    <row r="316" spans="1:15" s="22" customFormat="1" ht="21" hidden="1" customHeight="1">
      <c r="A316" s="43"/>
      <c r="B316" s="23"/>
      <c r="C316" s="1"/>
      <c r="D316" s="1"/>
      <c r="E316" s="1"/>
      <c r="F316" s="1"/>
      <c r="G316" s="46"/>
      <c r="H316" s="1"/>
      <c r="I316" s="1"/>
      <c r="J316" s="1"/>
      <c r="K316" s="1"/>
      <c r="L316" s="1"/>
      <c r="M316" s="1"/>
      <c r="O316" s="131"/>
    </row>
    <row r="317" spans="1:15" s="22" customFormat="1" ht="21" hidden="1" customHeight="1">
      <c r="A317" s="43"/>
      <c r="B317" s="23"/>
      <c r="C317" s="1"/>
      <c r="D317" s="1"/>
      <c r="E317" s="1"/>
      <c r="F317" s="1"/>
      <c r="G317" s="46"/>
      <c r="H317" s="1"/>
      <c r="I317" s="1"/>
      <c r="J317" s="1"/>
      <c r="K317" s="1"/>
      <c r="L317" s="1"/>
      <c r="M317" s="1"/>
      <c r="O317" s="131"/>
    </row>
    <row r="318" spans="1:15" s="22" customFormat="1" ht="21" hidden="1" customHeight="1">
      <c r="A318" s="43"/>
      <c r="B318" s="23"/>
      <c r="C318" s="1"/>
      <c r="D318" s="1"/>
      <c r="E318" s="1"/>
      <c r="F318" s="1"/>
      <c r="G318" s="1"/>
      <c r="H318" s="1"/>
      <c r="I318" s="1"/>
      <c r="J318" s="1"/>
      <c r="K318" s="1"/>
      <c r="L318" s="1"/>
      <c r="M318" s="1"/>
      <c r="O318" s="131"/>
    </row>
    <row r="319" spans="1:15" s="22" customFormat="1" ht="21" hidden="1" customHeight="1">
      <c r="A319" s="43"/>
      <c r="B319" s="23"/>
      <c r="C319" s="1"/>
      <c r="D319" s="1"/>
      <c r="E319" s="1"/>
      <c r="F319" s="1"/>
      <c r="G319" s="1"/>
      <c r="H319" s="1"/>
      <c r="I319" s="1"/>
      <c r="J319" s="1"/>
      <c r="K319" s="1"/>
      <c r="L319" s="1"/>
      <c r="M319" s="1"/>
      <c r="O319" s="131"/>
    </row>
    <row r="320" spans="1:15" s="22" customFormat="1" ht="21" hidden="1" customHeight="1">
      <c r="A320" s="43"/>
      <c r="B320" s="23"/>
      <c r="C320" s="1"/>
      <c r="D320" s="1"/>
      <c r="E320" s="1"/>
      <c r="F320" s="1"/>
      <c r="G320" s="1"/>
      <c r="H320" s="1"/>
      <c r="I320" s="1"/>
      <c r="J320" s="1"/>
      <c r="K320" s="1"/>
      <c r="L320" s="1"/>
      <c r="M320" s="1"/>
      <c r="O320" s="131"/>
    </row>
    <row r="321" spans="1:15" s="22" customFormat="1" ht="39.75" hidden="1" customHeight="1">
      <c r="A321" s="12"/>
      <c r="B321" s="255" t="s">
        <v>241</v>
      </c>
      <c r="C321" s="13" t="s">
        <v>242</v>
      </c>
      <c r="D321" s="14"/>
      <c r="E321" s="14"/>
      <c r="F321" s="14"/>
      <c r="G321" s="1"/>
      <c r="H321" s="1"/>
      <c r="I321" s="1"/>
      <c r="J321" s="1"/>
      <c r="K321" s="1"/>
      <c r="L321" s="1"/>
      <c r="M321" s="1" t="s">
        <v>41</v>
      </c>
      <c r="O321" s="131"/>
    </row>
    <row r="322" spans="1:15" s="22" customFormat="1" ht="21" hidden="1" customHeight="1">
      <c r="A322" s="15"/>
      <c r="B322" s="16" t="s">
        <v>42</v>
      </c>
      <c r="C322" s="33">
        <f>C325+C328+C331</f>
        <v>0</v>
      </c>
      <c r="D322" s="33">
        <f t="shared" ref="D322:M323" si="63">D325+D328+D331</f>
        <v>0</v>
      </c>
      <c r="E322" s="33">
        <f t="shared" si="63"/>
        <v>0</v>
      </c>
      <c r="F322" s="33">
        <f t="shared" si="63"/>
        <v>0</v>
      </c>
      <c r="G322" s="33">
        <f t="shared" si="63"/>
        <v>0</v>
      </c>
      <c r="H322" s="33">
        <f t="shared" si="63"/>
        <v>0</v>
      </c>
      <c r="I322" s="33">
        <f t="shared" si="63"/>
        <v>0</v>
      </c>
      <c r="J322" s="33">
        <f t="shared" si="63"/>
        <v>0</v>
      </c>
      <c r="K322" s="33">
        <f t="shared" si="63"/>
        <v>0</v>
      </c>
      <c r="L322" s="33">
        <f t="shared" si="63"/>
        <v>0</v>
      </c>
      <c r="M322" s="33">
        <f t="shared" si="63"/>
        <v>0</v>
      </c>
      <c r="O322" s="131"/>
    </row>
    <row r="323" spans="1:15" s="22" customFormat="1" ht="21" hidden="1" customHeight="1">
      <c r="A323" s="18"/>
      <c r="B323" s="16"/>
      <c r="C323" s="33">
        <f>C326+C329+C332</f>
        <v>0</v>
      </c>
      <c r="D323" s="33">
        <f t="shared" si="63"/>
        <v>0</v>
      </c>
      <c r="E323" s="33">
        <f t="shared" si="63"/>
        <v>0</v>
      </c>
      <c r="F323" s="33">
        <f t="shared" si="63"/>
        <v>0</v>
      </c>
      <c r="G323" s="33">
        <f t="shared" si="63"/>
        <v>0</v>
      </c>
      <c r="H323" s="33">
        <f t="shared" si="63"/>
        <v>0</v>
      </c>
      <c r="I323" s="33">
        <f t="shared" si="63"/>
        <v>0</v>
      </c>
      <c r="J323" s="33">
        <f t="shared" si="63"/>
        <v>0</v>
      </c>
      <c r="K323" s="33">
        <f t="shared" si="63"/>
        <v>0</v>
      </c>
      <c r="L323" s="33">
        <f t="shared" si="63"/>
        <v>0</v>
      </c>
      <c r="M323" s="33">
        <f t="shared" si="63"/>
        <v>0</v>
      </c>
      <c r="O323" s="131"/>
    </row>
    <row r="324" spans="1:15" s="22" customFormat="1" ht="16.5" hidden="1" customHeight="1">
      <c r="A324" s="12"/>
      <c r="B324" s="129"/>
      <c r="C324" s="14"/>
      <c r="D324" s="14"/>
      <c r="E324" s="14"/>
      <c r="F324" s="14"/>
      <c r="G324" s="236"/>
      <c r="H324" s="14"/>
      <c r="I324" s="14"/>
      <c r="J324" s="14"/>
      <c r="K324" s="14"/>
      <c r="L324" s="14"/>
      <c r="M324" s="14"/>
      <c r="O324" s="131"/>
    </row>
    <row r="325" spans="1:15" s="22" customFormat="1" ht="16.5" hidden="1" customHeight="1">
      <c r="A325" s="18" t="s">
        <v>32</v>
      </c>
      <c r="B325" s="34" t="s">
        <v>33</v>
      </c>
      <c r="C325" s="42">
        <v>0</v>
      </c>
      <c r="D325" s="42">
        <v>0</v>
      </c>
      <c r="E325" s="42">
        <v>0</v>
      </c>
      <c r="F325" s="42">
        <f>D325-E325</f>
        <v>0</v>
      </c>
      <c r="G325" s="42">
        <f>SUM(H325:M325)</f>
        <v>0</v>
      </c>
      <c r="H325" s="42">
        <v>0</v>
      </c>
      <c r="I325" s="42">
        <v>0</v>
      </c>
      <c r="J325" s="42">
        <v>0</v>
      </c>
      <c r="K325" s="42">
        <v>0</v>
      </c>
      <c r="L325" s="42">
        <v>0</v>
      </c>
      <c r="M325" s="42">
        <v>0</v>
      </c>
      <c r="O325" s="131"/>
    </row>
    <row r="326" spans="1:15" ht="16.5" hidden="1" customHeight="1">
      <c r="A326" s="18"/>
      <c r="B326" s="35" t="s">
        <v>34</v>
      </c>
      <c r="C326" s="42">
        <v>0</v>
      </c>
      <c r="D326" s="42">
        <v>0</v>
      </c>
      <c r="E326" s="42">
        <v>0</v>
      </c>
      <c r="F326" s="42">
        <f>D326-E326</f>
        <v>0</v>
      </c>
      <c r="G326" s="42">
        <f>SUM(H326:M326)</f>
        <v>0</v>
      </c>
      <c r="H326" s="42">
        <v>0</v>
      </c>
      <c r="I326" s="42">
        <v>0</v>
      </c>
      <c r="J326" s="42">
        <v>0</v>
      </c>
      <c r="K326" s="42">
        <v>0</v>
      </c>
      <c r="L326" s="42">
        <v>0</v>
      </c>
      <c r="M326" s="42">
        <v>0</v>
      </c>
    </row>
    <row r="327" spans="1:15" ht="16.5" hidden="1" customHeight="1">
      <c r="A327" s="18"/>
      <c r="C327" s="14"/>
      <c r="D327" s="14"/>
      <c r="E327" s="14"/>
      <c r="F327" s="14"/>
      <c r="G327" s="236"/>
      <c r="H327" s="14"/>
      <c r="I327" s="14"/>
      <c r="J327" s="14"/>
      <c r="K327" s="14"/>
      <c r="L327" s="14"/>
      <c r="M327" s="14"/>
    </row>
    <row r="328" spans="1:15" ht="16.5" hidden="1" customHeight="1">
      <c r="A328" s="18" t="s">
        <v>35</v>
      </c>
      <c r="B328" s="34" t="s">
        <v>43</v>
      </c>
      <c r="C328" s="42">
        <v>0</v>
      </c>
      <c r="D328" s="42">
        <v>0</v>
      </c>
      <c r="E328" s="42">
        <v>0</v>
      </c>
      <c r="F328" s="42">
        <f>D328-E328</f>
        <v>0</v>
      </c>
      <c r="G328" s="42">
        <f>SUM(H328:M328)</f>
        <v>0</v>
      </c>
      <c r="H328" s="42">
        <v>0</v>
      </c>
      <c r="I328" s="42">
        <v>0</v>
      </c>
      <c r="J328" s="42">
        <v>0</v>
      </c>
      <c r="K328" s="42">
        <v>0</v>
      </c>
      <c r="L328" s="42">
        <v>0</v>
      </c>
      <c r="M328" s="42">
        <v>0</v>
      </c>
    </row>
    <row r="329" spans="1:15" ht="16.5" hidden="1" customHeight="1">
      <c r="A329" s="18"/>
      <c r="B329" s="35" t="s">
        <v>36</v>
      </c>
      <c r="C329" s="42">
        <v>0</v>
      </c>
      <c r="D329" s="42">
        <v>0</v>
      </c>
      <c r="E329" s="42">
        <v>0</v>
      </c>
      <c r="F329" s="42">
        <f>D329-E329</f>
        <v>0</v>
      </c>
      <c r="G329" s="42">
        <f>SUM(H329:M329)</f>
        <v>0</v>
      </c>
      <c r="H329" s="42">
        <v>0</v>
      </c>
      <c r="I329" s="42">
        <v>0</v>
      </c>
      <c r="J329" s="42">
        <v>0</v>
      </c>
      <c r="K329" s="42">
        <v>0</v>
      </c>
      <c r="L329" s="42">
        <v>0</v>
      </c>
      <c r="M329" s="42">
        <v>0</v>
      </c>
    </row>
    <row r="330" spans="1:15" ht="16.5" hidden="1" customHeight="1">
      <c r="A330" s="18"/>
      <c r="B330" s="32"/>
      <c r="C330" s="14"/>
      <c r="D330" s="14"/>
      <c r="E330" s="14"/>
      <c r="F330" s="14"/>
      <c r="G330" s="14"/>
      <c r="H330" s="14"/>
      <c r="I330" s="14"/>
      <c r="J330" s="14"/>
      <c r="K330" s="14"/>
      <c r="L330" s="14"/>
      <c r="M330" s="14"/>
    </row>
    <row r="331" spans="1:15" ht="16.5" hidden="1" customHeight="1">
      <c r="A331" s="18" t="s">
        <v>37</v>
      </c>
      <c r="B331" s="34" t="s">
        <v>60</v>
      </c>
      <c r="C331" s="42">
        <f>C334+C335+C336</f>
        <v>0</v>
      </c>
      <c r="D331" s="42">
        <f t="shared" ref="D331:M331" si="64">D334+D335+D336</f>
        <v>0</v>
      </c>
      <c r="E331" s="42">
        <f t="shared" si="64"/>
        <v>0</v>
      </c>
      <c r="F331" s="42">
        <f t="shared" si="64"/>
        <v>0</v>
      </c>
      <c r="G331" s="42">
        <f t="shared" si="64"/>
        <v>0</v>
      </c>
      <c r="H331" s="42">
        <f t="shared" si="64"/>
        <v>0</v>
      </c>
      <c r="I331" s="42">
        <f t="shared" si="64"/>
        <v>0</v>
      </c>
      <c r="J331" s="42">
        <f t="shared" si="64"/>
        <v>0</v>
      </c>
      <c r="K331" s="42">
        <f t="shared" si="64"/>
        <v>0</v>
      </c>
      <c r="L331" s="42">
        <f t="shared" si="64"/>
        <v>0</v>
      </c>
      <c r="M331" s="42">
        <f t="shared" si="64"/>
        <v>0</v>
      </c>
    </row>
    <row r="332" spans="1:15" ht="16.5" hidden="1" customHeight="1">
      <c r="A332" s="18"/>
      <c r="B332" s="35" t="s">
        <v>61</v>
      </c>
      <c r="C332" s="14"/>
      <c r="D332" s="14"/>
      <c r="E332" s="14"/>
      <c r="F332" s="14"/>
      <c r="G332" s="14"/>
      <c r="H332" s="14"/>
      <c r="I332" s="14"/>
      <c r="J332" s="14"/>
      <c r="K332" s="14"/>
      <c r="L332" s="14"/>
      <c r="M332" s="14"/>
    </row>
    <row r="333" spans="1:15" ht="16.5" hidden="1" customHeight="1">
      <c r="A333" s="12"/>
      <c r="B333" s="16" t="s">
        <v>42</v>
      </c>
      <c r="C333" s="14"/>
      <c r="D333" s="5"/>
      <c r="E333" s="5"/>
      <c r="F333" s="5"/>
      <c r="G333" s="5"/>
      <c r="H333" s="5"/>
      <c r="I333" s="5"/>
      <c r="J333" s="5"/>
      <c r="K333" s="5"/>
      <c r="L333" s="14"/>
      <c r="M333" s="14"/>
    </row>
    <row r="334" spans="1:15" ht="16.5" hidden="1" customHeight="1">
      <c r="A334" s="43"/>
      <c r="B334" s="23" t="s">
        <v>62</v>
      </c>
      <c r="C334" s="14">
        <v>0</v>
      </c>
      <c r="D334" s="14">
        <v>0</v>
      </c>
      <c r="E334" s="14">
        <v>0</v>
      </c>
      <c r="F334" s="14">
        <v>0</v>
      </c>
      <c r="G334" s="14">
        <v>0</v>
      </c>
      <c r="H334" s="14">
        <v>0</v>
      </c>
      <c r="I334" s="14">
        <v>0</v>
      </c>
      <c r="J334" s="14">
        <v>0</v>
      </c>
      <c r="K334" s="14">
        <v>0</v>
      </c>
      <c r="L334" s="14">
        <v>0</v>
      </c>
      <c r="M334" s="14">
        <v>0</v>
      </c>
    </row>
    <row r="335" spans="1:15" ht="16.5" hidden="1" customHeight="1">
      <c r="A335" s="44"/>
      <c r="B335" s="137" t="s">
        <v>63</v>
      </c>
      <c r="C335" s="45">
        <f>'A3 BIS - DOTARI 2024'!D79</f>
        <v>0</v>
      </c>
      <c r="D335" s="45">
        <f>'A3 BIS - DOTARI 2024'!E79</f>
        <v>0</v>
      </c>
      <c r="E335" s="45">
        <f>'A3 BIS - DOTARI 2024'!F79</f>
        <v>0</v>
      </c>
      <c r="F335" s="45">
        <f>'A3 BIS - DOTARI 2024'!G79</f>
        <v>0</v>
      </c>
      <c r="G335" s="45">
        <f>'A3 BIS - DOTARI 2024'!H79</f>
        <v>0</v>
      </c>
      <c r="H335" s="45">
        <f>'A3 BIS - DOTARI 2024'!I79</f>
        <v>0</v>
      </c>
      <c r="I335" s="45">
        <f>'A3 BIS - DOTARI 2024'!J79</f>
        <v>0</v>
      </c>
      <c r="J335" s="45">
        <f>'A3 BIS - DOTARI 2024'!K79</f>
        <v>0</v>
      </c>
      <c r="K335" s="45">
        <f>'A3 BIS - DOTARI 2024'!L79</f>
        <v>0</v>
      </c>
      <c r="L335" s="45">
        <f>'A3 BIS - DOTARI 2024'!M79</f>
        <v>0</v>
      </c>
      <c r="M335" s="45">
        <f>'A3 BIS - DOTARI 2024'!N79</f>
        <v>0</v>
      </c>
    </row>
    <row r="336" spans="1:15" ht="16.5" hidden="1" customHeight="1">
      <c r="A336" s="44"/>
      <c r="B336" s="137" t="s">
        <v>64</v>
      </c>
      <c r="C336" s="45">
        <v>0</v>
      </c>
      <c r="D336" s="45">
        <v>0</v>
      </c>
      <c r="E336" s="45">
        <v>0</v>
      </c>
      <c r="F336" s="45">
        <v>0</v>
      </c>
      <c r="G336" s="45">
        <v>0</v>
      </c>
      <c r="H336" s="45">
        <v>0</v>
      </c>
      <c r="I336" s="45">
        <v>0</v>
      </c>
      <c r="J336" s="45">
        <v>0</v>
      </c>
      <c r="K336" s="45">
        <v>0</v>
      </c>
      <c r="L336" s="45">
        <v>0</v>
      </c>
      <c r="M336" s="45">
        <v>0</v>
      </c>
    </row>
    <row r="337" spans="1:14" ht="16.5" customHeight="1">
      <c r="A337" s="99"/>
      <c r="B337" s="143"/>
      <c r="C337" s="78"/>
      <c r="D337" s="9"/>
      <c r="E337" s="9"/>
      <c r="F337" s="9"/>
      <c r="G337" s="9"/>
      <c r="H337" s="9"/>
      <c r="I337" s="9"/>
      <c r="J337" s="9"/>
      <c r="K337" s="9"/>
      <c r="L337" s="9"/>
      <c r="M337" s="9"/>
      <c r="N337" s="9"/>
    </row>
    <row r="338" spans="1:14" ht="15.75">
      <c r="A338" s="288"/>
      <c r="B338" s="292" t="s">
        <v>243</v>
      </c>
      <c r="C338" s="290"/>
      <c r="D338" s="299"/>
      <c r="E338" s="324" t="s">
        <v>244</v>
      </c>
      <c r="F338" s="290"/>
      <c r="G338" s="290"/>
      <c r="H338" s="290"/>
      <c r="I338" s="290"/>
      <c r="J338" s="299"/>
      <c r="K338" s="308" t="s">
        <v>245</v>
      </c>
      <c r="L338" s="299"/>
      <c r="M338" s="290"/>
      <c r="N338" s="9"/>
    </row>
    <row r="339" spans="1:14" ht="15.75">
      <c r="A339" s="296"/>
      <c r="B339" s="292" t="s">
        <v>246</v>
      </c>
      <c r="C339" s="298"/>
      <c r="D339" s="299"/>
      <c r="E339" s="299"/>
      <c r="F339" s="298"/>
      <c r="G339" s="298"/>
      <c r="H339" s="291"/>
      <c r="I339" s="298"/>
      <c r="J339" s="299"/>
      <c r="K339" s="302" t="s">
        <v>247</v>
      </c>
      <c r="L339" s="299"/>
      <c r="M339" s="298"/>
    </row>
    <row r="340" spans="1:14" ht="15.75">
      <c r="A340" s="301"/>
      <c r="B340" s="302"/>
      <c r="C340" s="299"/>
      <c r="D340" s="299"/>
      <c r="E340" s="298"/>
      <c r="F340" s="299"/>
      <c r="G340" s="299"/>
      <c r="H340" s="303" t="s">
        <v>248</v>
      </c>
      <c r="I340" s="286"/>
      <c r="J340" s="291"/>
      <c r="K340" s="299"/>
      <c r="L340" s="299"/>
      <c r="M340" s="299"/>
    </row>
    <row r="341" spans="1:14" ht="15.75">
      <c r="A341" s="301"/>
      <c r="B341" s="290"/>
      <c r="C341" s="302" t="s">
        <v>249</v>
      </c>
      <c r="D341" s="290"/>
      <c r="E341" s="290"/>
      <c r="F341" s="290"/>
      <c r="G341" s="299"/>
      <c r="H341" s="303" t="s">
        <v>250</v>
      </c>
      <c r="I341" s="302"/>
      <c r="J341" s="291"/>
      <c r="K341" s="299"/>
      <c r="L341" s="302" t="s">
        <v>251</v>
      </c>
      <c r="M341" s="299"/>
    </row>
    <row r="342" spans="1:14" ht="15.75">
      <c r="A342" s="305"/>
      <c r="B342" s="290"/>
      <c r="C342" s="302" t="s">
        <v>252</v>
      </c>
      <c r="D342" s="290"/>
      <c r="E342" s="306"/>
      <c r="F342" s="299"/>
      <c r="G342" s="299"/>
      <c r="H342" s="307" t="s">
        <v>253</v>
      </c>
      <c r="I342" s="297"/>
      <c r="J342" s="308"/>
      <c r="K342" s="299"/>
      <c r="L342" s="297" t="s">
        <v>254</v>
      </c>
      <c r="M342" s="299"/>
    </row>
    <row r="343" spans="1:14" ht="15.75">
      <c r="A343" s="305"/>
      <c r="B343" s="302"/>
      <c r="C343" s="302"/>
      <c r="D343" s="309"/>
      <c r="E343" s="302"/>
      <c r="F343" s="297"/>
      <c r="G343" s="302"/>
      <c r="H343" s="309"/>
      <c r="I343" s="306"/>
      <c r="J343" s="302"/>
      <c r="K343" s="302"/>
      <c r="L343" s="297"/>
      <c r="M343" s="297"/>
      <c r="N343" s="131"/>
    </row>
    <row r="344" spans="1:14">
      <c r="A344" s="310"/>
      <c r="B344" s="310"/>
      <c r="C344" s="310"/>
      <c r="D344" s="310"/>
      <c r="E344" s="310"/>
      <c r="F344" s="294"/>
      <c r="G344" s="310"/>
      <c r="H344" s="310"/>
      <c r="I344" s="310"/>
      <c r="J344" s="310"/>
      <c r="K344" s="311"/>
      <c r="L344" s="312"/>
      <c r="M344" s="313"/>
    </row>
    <row r="345" spans="1:14" ht="13.5">
      <c r="A345" s="319"/>
      <c r="B345" s="319"/>
      <c r="C345" s="319"/>
      <c r="D345" s="319"/>
      <c r="E345" s="319"/>
      <c r="F345" s="319"/>
      <c r="G345" s="319"/>
      <c r="H345" s="319"/>
      <c r="I345" s="319"/>
      <c r="J345" s="294"/>
      <c r="K345" s="319"/>
      <c r="L345" s="319"/>
      <c r="M345" s="328"/>
      <c r="N345" s="3"/>
    </row>
    <row r="346" spans="1:14" ht="12.75">
      <c r="A346" s="319"/>
      <c r="B346" s="368"/>
      <c r="C346" s="319"/>
      <c r="D346" s="319"/>
      <c r="E346" s="319"/>
      <c r="F346" s="319"/>
      <c r="G346" s="319"/>
      <c r="H346" s="319"/>
      <c r="I346" s="319"/>
      <c r="J346" s="319"/>
      <c r="K346" s="319"/>
      <c r="L346" s="319"/>
      <c r="M346" s="328"/>
      <c r="N346" s="3"/>
    </row>
    <row r="347" spans="1:14">
      <c r="D347" s="6"/>
      <c r="E347" s="6"/>
      <c r="F347" s="6"/>
      <c r="G347" s="6"/>
      <c r="H347" s="78"/>
      <c r="I347" s="78"/>
      <c r="J347" s="6"/>
      <c r="K347" s="6"/>
      <c r="L347" s="6"/>
      <c r="M347" s="6"/>
      <c r="N347" s="6"/>
    </row>
    <row r="348" spans="1:14">
      <c r="D348" s="6"/>
      <c r="E348" s="6"/>
      <c r="F348" s="6"/>
      <c r="G348" s="6"/>
      <c r="H348" s="78"/>
      <c r="I348" s="78"/>
      <c r="J348" s="6"/>
      <c r="K348" s="6"/>
      <c r="L348" s="6"/>
      <c r="M348" s="6"/>
      <c r="N348" s="6"/>
    </row>
    <row r="349" spans="1:14" ht="13.5">
      <c r="A349" s="6"/>
      <c r="B349" s="6"/>
      <c r="C349" s="6"/>
      <c r="D349" s="6"/>
      <c r="E349" s="6"/>
      <c r="F349" s="6"/>
      <c r="G349" s="6"/>
      <c r="H349" s="78"/>
      <c r="I349" s="78"/>
      <c r="J349" s="6"/>
      <c r="K349" s="6"/>
      <c r="L349" s="6"/>
      <c r="M349" s="6"/>
      <c r="N349" s="6"/>
    </row>
  </sheetData>
  <mergeCells count="1">
    <mergeCell ref="A8:M8"/>
  </mergeCells>
  <pageMargins left="0.27559055118110237" right="0.15748031496062992" top="0.74803149606299213" bottom="0.78740157480314965" header="0.31496062992125984" footer="0.39370078740157483"/>
  <pageSetup paperSize="9" scale="95" fitToHeight="6" orientation="landscape" r:id="rId1"/>
  <headerFooter alignWithMargins="0">
    <oddFooter xml:space="preserve">&amp;C&amp;8Pagina &amp;P din &amp;N&amp;R&amp;8(L1) HCL nr.  din 
Lista  obiectelor de investiții ANEXA 3 BIS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77"/>
  <sheetViews>
    <sheetView view="pageBreakPreview" topLeftCell="A5" zoomScaleNormal="115" zoomScaleSheetLayoutView="100" workbookViewId="0">
      <selection activeCell="F70" sqref="F70"/>
    </sheetView>
  </sheetViews>
  <sheetFormatPr defaultRowHeight="12.75"/>
  <cols>
    <col min="1" max="1" width="4.140625" style="3" customWidth="1"/>
    <col min="2" max="2" width="39" style="3" customWidth="1"/>
    <col min="3" max="3" width="9.85546875" style="68" customWidth="1"/>
    <col min="4" max="4" width="7.42578125" style="3" customWidth="1"/>
    <col min="5" max="5" width="8.5703125" style="3" customWidth="1"/>
    <col min="6" max="6" width="9.28515625" style="3" customWidth="1"/>
    <col min="7" max="7" width="7" style="3" customWidth="1"/>
    <col min="8" max="8" width="8.140625" style="3" customWidth="1"/>
    <col min="9" max="9" width="6.7109375" style="3" customWidth="1"/>
    <col min="10" max="10" width="6.85546875" style="3" customWidth="1"/>
    <col min="11" max="11" width="6.5703125" style="3" customWidth="1"/>
    <col min="12" max="12" width="7.140625" style="3" customWidth="1"/>
    <col min="13" max="13" width="7.42578125" style="3" customWidth="1"/>
    <col min="14" max="14" width="5.7109375" style="3" customWidth="1"/>
    <col min="15" max="15" width="5.5703125" style="67" bestFit="1" customWidth="1"/>
    <col min="16" max="16" width="9.140625" style="3"/>
    <col min="17" max="17" width="10.140625" style="3" bestFit="1" customWidth="1"/>
    <col min="18" max="16384" width="9.140625" style="3"/>
  </cols>
  <sheetData>
    <row r="1" spans="1:15" ht="15">
      <c r="A1" s="65"/>
      <c r="B1" s="66"/>
      <c r="D1" s="248"/>
      <c r="E1" s="248"/>
      <c r="G1" s="75"/>
      <c r="H1" s="248"/>
      <c r="I1" s="248"/>
      <c r="J1" s="248"/>
      <c r="K1" s="249"/>
      <c r="N1" s="129" t="s">
        <v>255</v>
      </c>
    </row>
    <row r="2" spans="1:15" ht="15">
      <c r="A2" s="65"/>
      <c r="B2" s="66"/>
      <c r="D2" s="319"/>
      <c r="E2" s="314" t="s">
        <v>3</v>
      </c>
      <c r="F2" s="319"/>
      <c r="G2" s="314" t="s">
        <v>4</v>
      </c>
      <c r="H2" s="314"/>
      <c r="I2" s="314"/>
      <c r="J2" s="314"/>
      <c r="K2" s="314" t="s">
        <v>5</v>
      </c>
      <c r="L2" s="319"/>
    </row>
    <row r="3" spans="1:15" ht="15">
      <c r="A3" s="65"/>
      <c r="B3" s="66"/>
      <c r="D3" s="319"/>
      <c r="E3" s="314" t="s">
        <v>7</v>
      </c>
      <c r="F3" s="319"/>
      <c r="G3" s="315"/>
      <c r="H3" s="314"/>
      <c r="I3" s="314"/>
      <c r="J3" s="314"/>
      <c r="K3" s="314" t="s">
        <v>8</v>
      </c>
      <c r="L3" s="319"/>
    </row>
    <row r="4" spans="1:15" ht="15" customHeight="1">
      <c r="A4" s="65"/>
      <c r="B4" s="66"/>
      <c r="D4" s="319"/>
      <c r="E4" s="314" t="s">
        <v>10</v>
      </c>
      <c r="F4" s="316"/>
      <c r="G4" s="313"/>
      <c r="H4" s="313"/>
      <c r="I4" s="313"/>
      <c r="J4" s="313"/>
      <c r="K4" s="314" t="s">
        <v>11</v>
      </c>
      <c r="L4" s="319"/>
      <c r="M4" s="69"/>
    </row>
    <row r="5" spans="1:15" ht="13.5" customHeight="1">
      <c r="A5" s="65"/>
      <c r="B5" s="183" t="s">
        <v>256</v>
      </c>
      <c r="D5" s="319"/>
      <c r="E5" s="317" t="s">
        <v>13</v>
      </c>
      <c r="F5" s="319"/>
      <c r="G5" s="319"/>
      <c r="H5" s="319"/>
      <c r="I5" s="319"/>
      <c r="J5" s="319"/>
      <c r="K5" s="319"/>
      <c r="L5" s="319"/>
      <c r="M5" s="69"/>
    </row>
    <row r="6" spans="1:15" ht="22.5" customHeight="1">
      <c r="A6" s="65"/>
      <c r="B6" s="183"/>
      <c r="D6" s="68"/>
      <c r="M6" s="69"/>
    </row>
    <row r="7" spans="1:15" ht="22.5" customHeight="1">
      <c r="A7" s="387" t="s">
        <v>257</v>
      </c>
      <c r="B7" s="387"/>
      <c r="C7" s="387"/>
      <c r="D7" s="387"/>
      <c r="E7" s="387"/>
      <c r="F7" s="387"/>
      <c r="G7" s="387"/>
      <c r="H7" s="387"/>
      <c r="I7" s="387"/>
      <c r="J7" s="387"/>
      <c r="K7" s="387"/>
      <c r="L7" s="387"/>
      <c r="M7" s="387"/>
      <c r="N7" s="387"/>
    </row>
    <row r="8" spans="1:15" ht="9.75" customHeight="1">
      <c r="A8" s="276"/>
      <c r="B8" s="373"/>
      <c r="C8" s="373"/>
      <c r="D8" s="373"/>
      <c r="E8" s="373"/>
      <c r="F8" s="373"/>
      <c r="G8" s="373"/>
      <c r="H8" s="373"/>
      <c r="I8" s="373"/>
      <c r="J8" s="373"/>
      <c r="K8" s="373"/>
      <c r="L8" s="373"/>
      <c r="M8" s="373"/>
      <c r="N8" s="373"/>
    </row>
    <row r="9" spans="1:15" s="74" customFormat="1" ht="23.25" hidden="1" customHeight="1" thickBot="1">
      <c r="A9" s="70" t="s">
        <v>258</v>
      </c>
      <c r="B9" s="4"/>
      <c r="C9" s="71"/>
      <c r="D9" s="72"/>
      <c r="E9" s="72"/>
      <c r="F9" s="4"/>
      <c r="G9" s="4"/>
      <c r="H9" s="4"/>
      <c r="I9" s="4"/>
      <c r="J9" s="4"/>
      <c r="K9" s="4"/>
      <c r="L9" s="69"/>
      <c r="M9" s="4"/>
      <c r="N9" s="73" t="s">
        <v>41</v>
      </c>
      <c r="O9" s="67"/>
    </row>
    <row r="10" spans="1:15" s="74" customFormat="1" ht="63" hidden="1" customHeight="1" thickBot="1">
      <c r="A10" s="185" t="s">
        <v>259</v>
      </c>
      <c r="B10" s="186" t="s">
        <v>260</v>
      </c>
      <c r="C10" s="187" t="s">
        <v>261</v>
      </c>
      <c r="D10" s="186" t="s">
        <v>262</v>
      </c>
      <c r="E10" s="188" t="s">
        <v>263</v>
      </c>
      <c r="F10" s="189" t="s">
        <v>264</v>
      </c>
      <c r="G10" s="189" t="s">
        <v>265</v>
      </c>
      <c r="H10" s="189" t="s">
        <v>266</v>
      </c>
      <c r="I10" s="86" t="s">
        <v>24</v>
      </c>
      <c r="J10" s="87" t="s">
        <v>577</v>
      </c>
      <c r="K10" s="190" t="s">
        <v>26</v>
      </c>
      <c r="L10" s="189" t="s">
        <v>27</v>
      </c>
      <c r="M10" s="189" t="s">
        <v>28</v>
      </c>
      <c r="N10" s="191" t="s">
        <v>267</v>
      </c>
      <c r="O10" s="67"/>
    </row>
    <row r="11" spans="1:15" s="75" customFormat="1" ht="19.5" hidden="1" customHeight="1">
      <c r="A11" s="342"/>
      <c r="B11" s="343"/>
      <c r="C11" s="281"/>
      <c r="D11" s="167">
        <v>0</v>
      </c>
      <c r="E11" s="344">
        <f>D11</f>
        <v>0</v>
      </c>
      <c r="F11" s="168">
        <v>0</v>
      </c>
      <c r="G11" s="169">
        <f>D11-F11</f>
        <v>0</v>
      </c>
      <c r="H11" s="170">
        <f>SUM(K11:N11)</f>
        <v>0</v>
      </c>
      <c r="I11" s="170"/>
      <c r="J11" s="170"/>
      <c r="K11" s="169"/>
      <c r="L11" s="169"/>
      <c r="M11" s="168">
        <v>0</v>
      </c>
      <c r="N11" s="169"/>
      <c r="O11" s="67" t="s">
        <v>270</v>
      </c>
    </row>
    <row r="12" spans="1:15" s="75" customFormat="1" ht="19.5" hidden="1" customHeight="1">
      <c r="A12" s="156"/>
      <c r="B12" s="4"/>
      <c r="C12" s="173" t="s">
        <v>304</v>
      </c>
      <c r="D12" s="158">
        <f t="shared" ref="D12:N12" si="0">SUM(D11:D11)</f>
        <v>0</v>
      </c>
      <c r="E12" s="158">
        <f t="shared" si="0"/>
        <v>0</v>
      </c>
      <c r="F12" s="158">
        <f t="shared" si="0"/>
        <v>0</v>
      </c>
      <c r="G12" s="158">
        <f t="shared" si="0"/>
        <v>0</v>
      </c>
      <c r="H12" s="158">
        <f t="shared" si="0"/>
        <v>0</v>
      </c>
      <c r="I12" s="158">
        <f t="shared" si="0"/>
        <v>0</v>
      </c>
      <c r="J12" s="158">
        <f t="shared" si="0"/>
        <v>0</v>
      </c>
      <c r="K12" s="158">
        <f t="shared" si="0"/>
        <v>0</v>
      </c>
      <c r="L12" s="158">
        <f t="shared" si="0"/>
        <v>0</v>
      </c>
      <c r="M12" s="158">
        <f t="shared" si="0"/>
        <v>0</v>
      </c>
      <c r="N12" s="158">
        <f t="shared" si="0"/>
        <v>0</v>
      </c>
      <c r="O12" s="74"/>
    </row>
    <row r="13" spans="1:15" s="75" customFormat="1" ht="15" hidden="1" customHeight="1">
      <c r="A13" s="156"/>
      <c r="B13" s="4"/>
      <c r="C13" s="157"/>
      <c r="D13" s="5"/>
      <c r="E13" s="5"/>
      <c r="F13" s="5"/>
      <c r="G13" s="5"/>
      <c r="H13" s="5"/>
      <c r="I13" s="5"/>
      <c r="J13" s="5"/>
      <c r="K13" s="5"/>
      <c r="L13" s="5"/>
      <c r="M13" s="5"/>
      <c r="N13" s="5"/>
      <c r="O13" s="74"/>
    </row>
    <row r="14" spans="1:15" s="75" customFormat="1" ht="28.5" hidden="1" customHeight="1" thickBot="1">
      <c r="A14" s="78" t="s">
        <v>305</v>
      </c>
      <c r="B14" s="92"/>
      <c r="C14" s="78"/>
      <c r="D14" s="9"/>
      <c r="E14" s="9"/>
      <c r="F14" s="9"/>
      <c r="G14" s="9"/>
      <c r="H14" s="9"/>
      <c r="I14" s="9"/>
      <c r="J14" s="9"/>
      <c r="K14" s="9"/>
      <c r="L14" s="9"/>
      <c r="M14" s="9"/>
      <c r="N14" s="73" t="s">
        <v>41</v>
      </c>
      <c r="O14" s="9"/>
    </row>
    <row r="15" spans="1:15" s="75" customFormat="1" ht="48.75" hidden="1" customHeight="1" thickBot="1">
      <c r="A15" s="185" t="s">
        <v>259</v>
      </c>
      <c r="B15" s="186" t="s">
        <v>260</v>
      </c>
      <c r="C15" s="187" t="s">
        <v>261</v>
      </c>
      <c r="D15" s="186" t="s">
        <v>262</v>
      </c>
      <c r="E15" s="188" t="s">
        <v>263</v>
      </c>
      <c r="F15" s="189" t="s">
        <v>306</v>
      </c>
      <c r="G15" s="189" t="s">
        <v>265</v>
      </c>
      <c r="H15" s="189" t="s">
        <v>307</v>
      </c>
      <c r="I15" s="86" t="s">
        <v>24</v>
      </c>
      <c r="J15" s="87" t="s">
        <v>25</v>
      </c>
      <c r="K15" s="190" t="s">
        <v>26</v>
      </c>
      <c r="L15" s="189" t="s">
        <v>27</v>
      </c>
      <c r="M15" s="189" t="s">
        <v>28</v>
      </c>
      <c r="N15" s="191" t="s">
        <v>267</v>
      </c>
    </row>
    <row r="16" spans="1:15" s="75" customFormat="1" ht="17.25" hidden="1" customHeight="1">
      <c r="A16" s="88">
        <v>1</v>
      </c>
      <c r="B16" s="132"/>
      <c r="C16" s="100"/>
      <c r="D16" s="167"/>
      <c r="E16" s="167"/>
      <c r="F16" s="168"/>
      <c r="G16" s="169"/>
      <c r="H16" s="170"/>
      <c r="I16" s="170"/>
      <c r="J16" s="170"/>
      <c r="K16" s="169"/>
      <c r="L16" s="169"/>
      <c r="M16" s="168"/>
      <c r="N16" s="169"/>
      <c r="O16" s="67" t="s">
        <v>270</v>
      </c>
    </row>
    <row r="17" spans="1:15" s="75" customFormat="1" ht="17.25" hidden="1" customHeight="1">
      <c r="A17" s="78"/>
      <c r="B17" s="92"/>
      <c r="C17" s="78" t="s">
        <v>304</v>
      </c>
      <c r="D17" s="93">
        <f t="shared" ref="D17:N17" si="1">SUM(D16:D16)</f>
        <v>0</v>
      </c>
      <c r="E17" s="93">
        <f t="shared" si="1"/>
        <v>0</v>
      </c>
      <c r="F17" s="93">
        <f t="shared" si="1"/>
        <v>0</v>
      </c>
      <c r="G17" s="93">
        <f t="shared" si="1"/>
        <v>0</v>
      </c>
      <c r="H17" s="93">
        <f t="shared" si="1"/>
        <v>0</v>
      </c>
      <c r="I17" s="93">
        <f t="shared" si="1"/>
        <v>0</v>
      </c>
      <c r="J17" s="93">
        <f t="shared" si="1"/>
        <v>0</v>
      </c>
      <c r="K17" s="93">
        <f t="shared" si="1"/>
        <v>0</v>
      </c>
      <c r="L17" s="93">
        <f t="shared" si="1"/>
        <v>0</v>
      </c>
      <c r="M17" s="93">
        <f t="shared" si="1"/>
        <v>0</v>
      </c>
      <c r="N17" s="93">
        <f t="shared" si="1"/>
        <v>0</v>
      </c>
    </row>
    <row r="18" spans="1:15" s="75" customFormat="1" ht="24.75" hidden="1" customHeight="1">
      <c r="A18" s="78"/>
      <c r="B18" s="92"/>
      <c r="C18" s="78"/>
      <c r="D18" s="9"/>
      <c r="E18" s="9"/>
      <c r="F18" s="9"/>
      <c r="G18" s="9"/>
      <c r="H18" s="9"/>
      <c r="I18" s="9"/>
      <c r="J18" s="9"/>
      <c r="K18" s="9"/>
      <c r="L18" s="9"/>
      <c r="M18" s="9"/>
      <c r="N18" s="9"/>
    </row>
    <row r="19" spans="1:15" s="74" customFormat="1" ht="23.25" customHeight="1" thickBot="1">
      <c r="A19" s="70" t="s">
        <v>308</v>
      </c>
      <c r="B19" s="4"/>
      <c r="C19" s="71"/>
      <c r="D19" s="72"/>
      <c r="E19" s="72"/>
      <c r="F19" s="4"/>
      <c r="G19" s="4"/>
      <c r="H19" s="4"/>
      <c r="I19" s="4"/>
      <c r="J19" s="4"/>
      <c r="K19" s="4"/>
      <c r="L19" s="69"/>
      <c r="M19" s="4"/>
      <c r="N19" s="73" t="s">
        <v>41</v>
      </c>
      <c r="O19" s="67"/>
    </row>
    <row r="20" spans="1:15" s="74" customFormat="1" ht="60" customHeight="1" thickBot="1">
      <c r="A20" s="185" t="s">
        <v>259</v>
      </c>
      <c r="B20" s="186" t="s">
        <v>260</v>
      </c>
      <c r="C20" s="187" t="s">
        <v>261</v>
      </c>
      <c r="D20" s="186" t="s">
        <v>262</v>
      </c>
      <c r="E20" s="188" t="s">
        <v>263</v>
      </c>
      <c r="F20" s="189" t="s">
        <v>264</v>
      </c>
      <c r="G20" s="189" t="s">
        <v>265</v>
      </c>
      <c r="H20" s="189" t="s">
        <v>266</v>
      </c>
      <c r="I20" s="86" t="s">
        <v>24</v>
      </c>
      <c r="J20" s="87" t="s">
        <v>577</v>
      </c>
      <c r="K20" s="190" t="s">
        <v>26</v>
      </c>
      <c r="L20" s="189" t="s">
        <v>27</v>
      </c>
      <c r="M20" s="189" t="s">
        <v>28</v>
      </c>
      <c r="N20" s="191" t="s">
        <v>267</v>
      </c>
      <c r="O20" s="67"/>
    </row>
    <row r="21" spans="1:15" s="75" customFormat="1" ht="75">
      <c r="A21" s="360">
        <v>1</v>
      </c>
      <c r="B21" s="352" t="s">
        <v>582</v>
      </c>
      <c r="C21" s="281" t="s">
        <v>269</v>
      </c>
      <c r="D21" s="167">
        <v>12</v>
      </c>
      <c r="E21" s="344">
        <f>D21</f>
        <v>12</v>
      </c>
      <c r="F21" s="168">
        <v>0</v>
      </c>
      <c r="G21" s="169">
        <f>D21-F21</f>
        <v>12</v>
      </c>
      <c r="H21" s="170">
        <f>SUM(I21:N21)</f>
        <v>12</v>
      </c>
      <c r="I21" s="168"/>
      <c r="J21" s="170">
        <v>12</v>
      </c>
      <c r="K21" s="169"/>
      <c r="L21" s="169"/>
      <c r="M21" s="168"/>
      <c r="N21" s="169"/>
      <c r="O21" s="67" t="s">
        <v>270</v>
      </c>
    </row>
    <row r="22" spans="1:15" s="75" customFormat="1" ht="113.25" customHeight="1">
      <c r="A22" s="360">
        <v>2</v>
      </c>
      <c r="B22" s="148" t="s">
        <v>320</v>
      </c>
      <c r="C22" s="281" t="s">
        <v>269</v>
      </c>
      <c r="D22" s="167">
        <v>1</v>
      </c>
      <c r="E22" s="167">
        <f>D22</f>
        <v>1</v>
      </c>
      <c r="F22" s="168">
        <v>0</v>
      </c>
      <c r="G22" s="169">
        <f>D22-F22</f>
        <v>1</v>
      </c>
      <c r="H22" s="170">
        <f>SUM(I22:N22)</f>
        <v>1</v>
      </c>
      <c r="I22" s="170"/>
      <c r="J22" s="170">
        <v>1</v>
      </c>
      <c r="K22" s="169"/>
      <c r="L22" s="169"/>
      <c r="M22" s="168"/>
      <c r="N22" s="169"/>
      <c r="O22" s="67" t="s">
        <v>270</v>
      </c>
    </row>
    <row r="23" spans="1:15" s="75" customFormat="1" ht="102.75" customHeight="1">
      <c r="A23" s="360">
        <v>3</v>
      </c>
      <c r="B23" s="148" t="s">
        <v>321</v>
      </c>
      <c r="C23" s="281" t="s">
        <v>269</v>
      </c>
      <c r="D23" s="167">
        <v>1</v>
      </c>
      <c r="E23" s="167">
        <f>D23</f>
        <v>1</v>
      </c>
      <c r="F23" s="168">
        <v>0</v>
      </c>
      <c r="G23" s="169">
        <f>D23-F23</f>
        <v>1</v>
      </c>
      <c r="H23" s="170">
        <f>SUM(I23:N23)</f>
        <v>1</v>
      </c>
      <c r="I23" s="170"/>
      <c r="J23" s="170">
        <v>1</v>
      </c>
      <c r="K23" s="169"/>
      <c r="L23" s="169"/>
      <c r="M23" s="168"/>
      <c r="N23" s="169"/>
      <c r="O23" s="67" t="s">
        <v>270</v>
      </c>
    </row>
    <row r="24" spans="1:15" s="75" customFormat="1" ht="21" customHeight="1">
      <c r="A24" s="156"/>
      <c r="B24" s="4"/>
      <c r="C24" s="157" t="s">
        <v>304</v>
      </c>
      <c r="D24" s="158">
        <f t="shared" ref="D24:N24" si="2">SUM(D21:D23)</f>
        <v>14</v>
      </c>
      <c r="E24" s="158">
        <f t="shared" si="2"/>
        <v>14</v>
      </c>
      <c r="F24" s="158">
        <f t="shared" si="2"/>
        <v>0</v>
      </c>
      <c r="G24" s="158">
        <f t="shared" si="2"/>
        <v>14</v>
      </c>
      <c r="H24" s="158">
        <f t="shared" si="2"/>
        <v>14</v>
      </c>
      <c r="I24" s="158">
        <f t="shared" si="2"/>
        <v>0</v>
      </c>
      <c r="J24" s="158">
        <f t="shared" si="2"/>
        <v>14</v>
      </c>
      <c r="K24" s="158">
        <f t="shared" si="2"/>
        <v>0</v>
      </c>
      <c r="L24" s="158">
        <f t="shared" si="2"/>
        <v>0</v>
      </c>
      <c r="M24" s="158">
        <f t="shared" si="2"/>
        <v>0</v>
      </c>
      <c r="N24" s="158">
        <f t="shared" si="2"/>
        <v>0</v>
      </c>
      <c r="O24" s="159"/>
    </row>
    <row r="25" spans="1:15" s="75" customFormat="1" ht="8.25" customHeight="1">
      <c r="A25" s="156"/>
      <c r="B25" s="4"/>
      <c r="C25" s="157"/>
      <c r="D25" s="5"/>
      <c r="E25" s="5"/>
      <c r="F25" s="5"/>
      <c r="G25" s="5"/>
      <c r="H25" s="5"/>
      <c r="I25" s="5"/>
      <c r="J25" s="5"/>
      <c r="K25" s="5"/>
      <c r="L25" s="5"/>
      <c r="M25" s="5"/>
      <c r="N25" s="5"/>
      <c r="O25" s="159"/>
    </row>
    <row r="26" spans="1:15" s="75" customFormat="1" ht="25.5" customHeight="1" thickBot="1">
      <c r="A26" s="388" t="s">
        <v>350</v>
      </c>
      <c r="B26" s="388"/>
      <c r="C26" s="157"/>
      <c r="D26" s="5"/>
      <c r="E26" s="5"/>
      <c r="F26" s="5"/>
      <c r="G26" s="5"/>
      <c r="H26" s="5"/>
      <c r="I26" s="5"/>
      <c r="J26" s="5"/>
      <c r="K26" s="5"/>
      <c r="L26" s="5"/>
      <c r="M26" s="5"/>
      <c r="N26" s="73" t="s">
        <v>41</v>
      </c>
      <c r="O26" s="159"/>
    </row>
    <row r="27" spans="1:15" s="75" customFormat="1" ht="57" thickBot="1">
      <c r="A27" s="185" t="s">
        <v>259</v>
      </c>
      <c r="B27" s="186" t="s">
        <v>260</v>
      </c>
      <c r="C27" s="187" t="s">
        <v>261</v>
      </c>
      <c r="D27" s="186" t="s">
        <v>262</v>
      </c>
      <c r="E27" s="188" t="s">
        <v>263</v>
      </c>
      <c r="F27" s="189" t="s">
        <v>264</v>
      </c>
      <c r="G27" s="189" t="s">
        <v>265</v>
      </c>
      <c r="H27" s="189" t="s">
        <v>266</v>
      </c>
      <c r="I27" s="86" t="s">
        <v>24</v>
      </c>
      <c r="J27" s="87" t="s">
        <v>577</v>
      </c>
      <c r="K27" s="190" t="s">
        <v>26</v>
      </c>
      <c r="L27" s="189" t="s">
        <v>27</v>
      </c>
      <c r="M27" s="189" t="s">
        <v>28</v>
      </c>
      <c r="N27" s="191" t="s">
        <v>267</v>
      </c>
      <c r="O27" s="67"/>
    </row>
    <row r="28" spans="1:15" s="75" customFormat="1" ht="93.75" customHeight="1">
      <c r="A28" s="360">
        <v>1</v>
      </c>
      <c r="B28" s="352" t="s">
        <v>352</v>
      </c>
      <c r="C28" s="281" t="s">
        <v>269</v>
      </c>
      <c r="D28" s="167">
        <v>307</v>
      </c>
      <c r="E28" s="167">
        <f>D28</f>
        <v>307</v>
      </c>
      <c r="F28" s="168">
        <v>0</v>
      </c>
      <c r="G28" s="169">
        <f>D28-F28</f>
        <v>307</v>
      </c>
      <c r="H28" s="170">
        <f>SUM(I28:N28)</f>
        <v>307</v>
      </c>
      <c r="I28" s="170"/>
      <c r="J28" s="168">
        <v>307</v>
      </c>
      <c r="K28" s="169"/>
      <c r="L28" s="169"/>
      <c r="M28" s="168"/>
      <c r="N28" s="169"/>
      <c r="O28" s="67" t="s">
        <v>270</v>
      </c>
    </row>
    <row r="29" spans="1:15" s="74" customFormat="1" ht="15">
      <c r="A29" s="156"/>
      <c r="B29" s="4"/>
      <c r="C29" s="157" t="s">
        <v>304</v>
      </c>
      <c r="D29" s="170">
        <f t="shared" ref="D29:N29" si="3">SUM(D28:D28)</f>
        <v>307</v>
      </c>
      <c r="E29" s="170">
        <f t="shared" si="3"/>
        <v>307</v>
      </c>
      <c r="F29" s="170">
        <f t="shared" si="3"/>
        <v>0</v>
      </c>
      <c r="G29" s="170">
        <f t="shared" si="3"/>
        <v>307</v>
      </c>
      <c r="H29" s="170">
        <f t="shared" si="3"/>
        <v>307</v>
      </c>
      <c r="I29" s="170">
        <f t="shared" si="3"/>
        <v>0</v>
      </c>
      <c r="J29" s="170">
        <f t="shared" si="3"/>
        <v>307</v>
      </c>
      <c r="K29" s="170">
        <f t="shared" si="3"/>
        <v>0</v>
      </c>
      <c r="L29" s="170">
        <f t="shared" si="3"/>
        <v>0</v>
      </c>
      <c r="M29" s="170">
        <f t="shared" si="3"/>
        <v>0</v>
      </c>
      <c r="N29" s="170">
        <f t="shared" si="3"/>
        <v>0</v>
      </c>
      <c r="O29" s="159"/>
    </row>
    <row r="30" spans="1:15" s="74" customFormat="1" ht="24.75" customHeight="1">
      <c r="A30" s="156"/>
      <c r="B30" s="4"/>
      <c r="C30" s="157"/>
      <c r="D30" s="5"/>
      <c r="E30" s="5"/>
      <c r="F30" s="5"/>
      <c r="G30" s="5"/>
      <c r="H30" s="5"/>
      <c r="I30" s="5"/>
      <c r="J30" s="5"/>
      <c r="K30" s="5"/>
      <c r="L30" s="5"/>
      <c r="M30" s="5"/>
      <c r="N30" s="5"/>
      <c r="O30" s="159"/>
    </row>
    <row r="31" spans="1:15" s="75" customFormat="1" ht="15.75" thickBot="1">
      <c r="A31" s="70" t="s">
        <v>355</v>
      </c>
      <c r="B31" s="4"/>
      <c r="C31" s="157"/>
      <c r="D31" s="5"/>
      <c r="E31" s="5"/>
      <c r="F31" s="5"/>
      <c r="G31" s="5"/>
      <c r="H31" s="5"/>
      <c r="I31" s="5"/>
      <c r="J31" s="5"/>
      <c r="K31" s="5"/>
      <c r="L31" s="5"/>
      <c r="M31" s="5"/>
      <c r="N31" s="73" t="s">
        <v>41</v>
      </c>
      <c r="O31" s="159"/>
    </row>
    <row r="32" spans="1:15" s="74" customFormat="1" ht="50.25" customHeight="1" thickBot="1">
      <c r="A32" s="185" t="s">
        <v>259</v>
      </c>
      <c r="B32" s="186" t="s">
        <v>260</v>
      </c>
      <c r="C32" s="187" t="s">
        <v>261</v>
      </c>
      <c r="D32" s="186" t="s">
        <v>262</v>
      </c>
      <c r="E32" s="188" t="s">
        <v>263</v>
      </c>
      <c r="F32" s="189" t="s">
        <v>264</v>
      </c>
      <c r="G32" s="189" t="s">
        <v>265</v>
      </c>
      <c r="H32" s="189" t="s">
        <v>266</v>
      </c>
      <c r="I32" s="86" t="s">
        <v>24</v>
      </c>
      <c r="J32" s="87" t="s">
        <v>577</v>
      </c>
      <c r="K32" s="190" t="s">
        <v>26</v>
      </c>
      <c r="L32" s="189" t="s">
        <v>27</v>
      </c>
      <c r="M32" s="189" t="s">
        <v>28</v>
      </c>
      <c r="N32" s="191" t="s">
        <v>267</v>
      </c>
      <c r="O32" s="67"/>
    </row>
    <row r="33" spans="1:15" s="74" customFormat="1" ht="60">
      <c r="A33" s="342">
        <v>1</v>
      </c>
      <c r="B33" s="343" t="s">
        <v>356</v>
      </c>
      <c r="C33" s="195" t="s">
        <v>269</v>
      </c>
      <c r="D33" s="167">
        <v>1</v>
      </c>
      <c r="E33" s="344">
        <f>D33</f>
        <v>1</v>
      </c>
      <c r="F33" s="168">
        <v>0</v>
      </c>
      <c r="G33" s="169">
        <f>D33-F33</f>
        <v>1</v>
      </c>
      <c r="H33" s="170">
        <f>SUM(I33:N33)</f>
        <v>1</v>
      </c>
      <c r="I33" s="170"/>
      <c r="J33" s="170">
        <v>1</v>
      </c>
      <c r="K33" s="169"/>
      <c r="L33" s="169"/>
      <c r="M33" s="168"/>
      <c r="N33" s="169"/>
      <c r="O33" s="67" t="s">
        <v>270</v>
      </c>
    </row>
    <row r="34" spans="1:15" s="75" customFormat="1" ht="15">
      <c r="A34" s="156"/>
      <c r="B34" s="4"/>
      <c r="C34" s="157" t="s">
        <v>304</v>
      </c>
      <c r="D34" s="170">
        <f t="shared" ref="D34:N34" si="4">SUM(D33:D33)</f>
        <v>1</v>
      </c>
      <c r="E34" s="170">
        <f t="shared" si="4"/>
        <v>1</v>
      </c>
      <c r="F34" s="170">
        <f t="shared" si="4"/>
        <v>0</v>
      </c>
      <c r="G34" s="170">
        <f t="shared" si="4"/>
        <v>1</v>
      </c>
      <c r="H34" s="170">
        <f t="shared" si="4"/>
        <v>1</v>
      </c>
      <c r="I34" s="170">
        <f t="shared" si="4"/>
        <v>0</v>
      </c>
      <c r="J34" s="170">
        <f t="shared" si="4"/>
        <v>1</v>
      </c>
      <c r="K34" s="170">
        <f t="shared" si="4"/>
        <v>0</v>
      </c>
      <c r="L34" s="170">
        <f t="shared" si="4"/>
        <v>0</v>
      </c>
      <c r="M34" s="170">
        <f t="shared" si="4"/>
        <v>0</v>
      </c>
      <c r="N34" s="170">
        <f t="shared" si="4"/>
        <v>0</v>
      </c>
      <c r="O34" s="159"/>
    </row>
    <row r="35" spans="1:15" s="75" customFormat="1" ht="16.5" hidden="1" customHeight="1">
      <c r="A35" s="156"/>
      <c r="B35" s="4"/>
      <c r="C35" s="157"/>
      <c r="D35" s="5"/>
      <c r="E35" s="5"/>
      <c r="F35" s="5"/>
      <c r="G35" s="5"/>
      <c r="H35" s="5"/>
      <c r="I35" s="5"/>
      <c r="J35" s="5"/>
      <c r="K35" s="5"/>
      <c r="L35" s="5"/>
      <c r="M35" s="5"/>
      <c r="N35" s="5"/>
      <c r="O35" s="159"/>
    </row>
    <row r="36" spans="1:15" ht="29.25" hidden="1" customHeight="1" thickBot="1">
      <c r="A36" s="76" t="s">
        <v>381</v>
      </c>
      <c r="B36" s="9"/>
      <c r="C36" s="9"/>
      <c r="D36" s="9"/>
      <c r="E36" s="9"/>
      <c r="F36" s="9"/>
      <c r="G36" s="9"/>
      <c r="H36" s="6"/>
      <c r="I36" s="6"/>
      <c r="J36" s="6"/>
      <c r="K36" s="6"/>
      <c r="L36" s="6"/>
      <c r="M36" s="6"/>
      <c r="N36" s="73" t="s">
        <v>41</v>
      </c>
      <c r="O36" s="54"/>
    </row>
    <row r="37" spans="1:15" s="74" customFormat="1" ht="68.25" hidden="1" customHeight="1" thickBot="1">
      <c r="A37" s="185" t="s">
        <v>259</v>
      </c>
      <c r="B37" s="186" t="s">
        <v>260</v>
      </c>
      <c r="C37" s="187" t="s">
        <v>261</v>
      </c>
      <c r="D37" s="186" t="s">
        <v>262</v>
      </c>
      <c r="E37" s="188" t="s">
        <v>263</v>
      </c>
      <c r="F37" s="189" t="s">
        <v>306</v>
      </c>
      <c r="G37" s="189" t="s">
        <v>265</v>
      </c>
      <c r="H37" s="189" t="s">
        <v>307</v>
      </c>
      <c r="I37" s="86" t="s">
        <v>24</v>
      </c>
      <c r="J37" s="87" t="s">
        <v>25</v>
      </c>
      <c r="K37" s="190" t="s">
        <v>26</v>
      </c>
      <c r="L37" s="189" t="s">
        <v>27</v>
      </c>
      <c r="M37" s="189" t="s">
        <v>28</v>
      </c>
      <c r="N37" s="191" t="s">
        <v>267</v>
      </c>
      <c r="O37" s="67"/>
    </row>
    <row r="38" spans="1:15" s="74" customFormat="1" ht="18" hidden="1" customHeight="1">
      <c r="A38" s="88">
        <v>1</v>
      </c>
      <c r="B38" s="132"/>
      <c r="C38" s="198"/>
      <c r="D38" s="163"/>
      <c r="E38" s="163"/>
      <c r="F38" s="163"/>
      <c r="G38" s="164"/>
      <c r="H38" s="165"/>
      <c r="I38" s="196"/>
      <c r="J38" s="196"/>
      <c r="K38" s="196"/>
      <c r="L38" s="196"/>
      <c r="M38" s="196"/>
      <c r="N38" s="163"/>
      <c r="O38" s="117" t="s">
        <v>270</v>
      </c>
    </row>
    <row r="39" spans="1:15" s="75" customFormat="1" ht="18" hidden="1" customHeight="1">
      <c r="A39" s="156"/>
      <c r="B39" s="4"/>
      <c r="C39" s="157" t="s">
        <v>304</v>
      </c>
      <c r="D39" s="158">
        <f t="shared" ref="D39:N39" si="5">SUM(D38:D38)</f>
        <v>0</v>
      </c>
      <c r="E39" s="158">
        <f t="shared" si="5"/>
        <v>0</v>
      </c>
      <c r="F39" s="158">
        <f t="shared" si="5"/>
        <v>0</v>
      </c>
      <c r="G39" s="158">
        <f t="shared" si="5"/>
        <v>0</v>
      </c>
      <c r="H39" s="158">
        <f t="shared" si="5"/>
        <v>0</v>
      </c>
      <c r="I39" s="158">
        <f t="shared" si="5"/>
        <v>0</v>
      </c>
      <c r="J39" s="158">
        <f t="shared" si="5"/>
        <v>0</v>
      </c>
      <c r="K39" s="158">
        <f t="shared" si="5"/>
        <v>0</v>
      </c>
      <c r="L39" s="158">
        <f t="shared" si="5"/>
        <v>0</v>
      </c>
      <c r="M39" s="158">
        <f t="shared" si="5"/>
        <v>0</v>
      </c>
      <c r="N39" s="158">
        <f t="shared" si="5"/>
        <v>0</v>
      </c>
      <c r="O39" s="159"/>
    </row>
    <row r="40" spans="1:15" s="75" customFormat="1" ht="18" hidden="1" customHeight="1">
      <c r="A40" s="156"/>
      <c r="B40" s="4"/>
      <c r="C40" s="157"/>
      <c r="D40" s="5"/>
      <c r="E40" s="5"/>
      <c r="F40" s="5"/>
      <c r="G40" s="5"/>
      <c r="H40" s="5"/>
      <c r="I40" s="5"/>
      <c r="J40" s="5"/>
      <c r="K40" s="5"/>
      <c r="L40" s="5"/>
      <c r="M40" s="5"/>
      <c r="N40" s="5"/>
      <c r="O40" s="159"/>
    </row>
    <row r="41" spans="1:15" s="77" customFormat="1" ht="21.75" hidden="1" customHeight="1" thickBot="1">
      <c r="A41" s="277" t="s">
        <v>382</v>
      </c>
      <c r="B41" s="70"/>
      <c r="C41" s="174"/>
      <c r="D41" s="66"/>
      <c r="E41" s="66"/>
      <c r="F41" s="4"/>
      <c r="G41" s="175"/>
      <c r="H41" s="66"/>
      <c r="I41" s="66"/>
      <c r="J41" s="66"/>
      <c r="K41" s="4"/>
      <c r="L41" s="176"/>
      <c r="M41" s="4"/>
      <c r="N41" s="73" t="s">
        <v>41</v>
      </c>
      <c r="O41" s="67"/>
    </row>
    <row r="42" spans="1:15" s="74" customFormat="1" ht="57" hidden="1" thickBot="1">
      <c r="A42" s="185" t="s">
        <v>259</v>
      </c>
      <c r="B42" s="186" t="s">
        <v>260</v>
      </c>
      <c r="C42" s="187" t="s">
        <v>261</v>
      </c>
      <c r="D42" s="186" t="s">
        <v>262</v>
      </c>
      <c r="E42" s="188" t="s">
        <v>263</v>
      </c>
      <c r="F42" s="189" t="s">
        <v>264</v>
      </c>
      <c r="G42" s="189" t="s">
        <v>265</v>
      </c>
      <c r="H42" s="189" t="s">
        <v>266</v>
      </c>
      <c r="I42" s="86" t="s">
        <v>24</v>
      </c>
      <c r="J42" s="87" t="s">
        <v>577</v>
      </c>
      <c r="K42" s="190" t="s">
        <v>26</v>
      </c>
      <c r="L42" s="189" t="s">
        <v>27</v>
      </c>
      <c r="M42" s="189" t="s">
        <v>28</v>
      </c>
      <c r="N42" s="191" t="s">
        <v>267</v>
      </c>
      <c r="O42" s="67"/>
    </row>
    <row r="43" spans="1:15" s="74" customFormat="1" ht="18.75" hidden="1" customHeight="1">
      <c r="A43" s="342"/>
      <c r="B43" s="345"/>
      <c r="C43" s="281"/>
      <c r="D43" s="168">
        <v>0</v>
      </c>
      <c r="E43" s="346">
        <f>D43</f>
        <v>0</v>
      </c>
      <c r="F43" s="346">
        <v>0</v>
      </c>
      <c r="G43" s="168">
        <f>D43-F43</f>
        <v>0</v>
      </c>
      <c r="H43" s="170">
        <f>SUM(K43:N43)</f>
        <v>0</v>
      </c>
      <c r="I43" s="158"/>
      <c r="J43" s="158"/>
      <c r="K43" s="346"/>
      <c r="L43" s="346"/>
      <c r="M43" s="346">
        <v>0</v>
      </c>
      <c r="N43" s="168"/>
      <c r="O43" s="67" t="s">
        <v>270</v>
      </c>
    </row>
    <row r="44" spans="1:15" ht="18" hidden="1" customHeight="1">
      <c r="A44" s="177"/>
      <c r="B44" s="178"/>
      <c r="C44" s="157" t="s">
        <v>304</v>
      </c>
      <c r="D44" s="179">
        <f t="shared" ref="D44:N44" si="6">SUM(D43:D43)</f>
        <v>0</v>
      </c>
      <c r="E44" s="179">
        <f t="shared" si="6"/>
        <v>0</v>
      </c>
      <c r="F44" s="179">
        <f t="shared" si="6"/>
        <v>0</v>
      </c>
      <c r="G44" s="179">
        <f t="shared" si="6"/>
        <v>0</v>
      </c>
      <c r="H44" s="179">
        <f t="shared" si="6"/>
        <v>0</v>
      </c>
      <c r="I44" s="179">
        <f t="shared" si="6"/>
        <v>0</v>
      </c>
      <c r="J44" s="179">
        <f t="shared" si="6"/>
        <v>0</v>
      </c>
      <c r="K44" s="179">
        <f t="shared" si="6"/>
        <v>0</v>
      </c>
      <c r="L44" s="179">
        <f t="shared" si="6"/>
        <v>0</v>
      </c>
      <c r="M44" s="179">
        <f t="shared" si="6"/>
        <v>0</v>
      </c>
      <c r="N44" s="179">
        <f t="shared" si="6"/>
        <v>0</v>
      </c>
    </row>
    <row r="45" spans="1:15" ht="18" hidden="1" customHeight="1">
      <c r="A45" s="177"/>
      <c r="B45" s="178"/>
      <c r="C45" s="157"/>
      <c r="D45" s="180"/>
      <c r="E45" s="180"/>
      <c r="F45" s="180"/>
      <c r="G45" s="180"/>
      <c r="H45" s="180"/>
      <c r="I45" s="180"/>
      <c r="J45" s="180"/>
      <c r="K45" s="180"/>
      <c r="L45" s="180"/>
      <c r="M45" s="180"/>
      <c r="N45" s="180"/>
    </row>
    <row r="46" spans="1:15" ht="25.5" hidden="1" customHeight="1" thickBot="1">
      <c r="A46" s="70" t="s">
        <v>416</v>
      </c>
      <c r="B46" s="74"/>
      <c r="C46" s="71"/>
      <c r="D46" s="72"/>
      <c r="E46" s="72"/>
      <c r="F46" s="4"/>
      <c r="G46" s="4"/>
      <c r="H46" s="4"/>
      <c r="I46" s="4"/>
      <c r="J46" s="4"/>
      <c r="K46" s="4"/>
      <c r="L46" s="69"/>
      <c r="M46" s="4"/>
      <c r="N46" s="73" t="s">
        <v>41</v>
      </c>
    </row>
    <row r="47" spans="1:15" ht="47.25" hidden="1" customHeight="1" thickBot="1">
      <c r="A47" s="185" t="s">
        <v>259</v>
      </c>
      <c r="B47" s="186" t="s">
        <v>260</v>
      </c>
      <c r="C47" s="187" t="s">
        <v>261</v>
      </c>
      <c r="D47" s="186" t="s">
        <v>262</v>
      </c>
      <c r="E47" s="188" t="s">
        <v>263</v>
      </c>
      <c r="F47" s="189" t="s">
        <v>264</v>
      </c>
      <c r="G47" s="189" t="s">
        <v>265</v>
      </c>
      <c r="H47" s="189" t="s">
        <v>266</v>
      </c>
      <c r="I47" s="86" t="s">
        <v>24</v>
      </c>
      <c r="J47" s="87" t="s">
        <v>577</v>
      </c>
      <c r="K47" s="190" t="s">
        <v>26</v>
      </c>
      <c r="L47" s="189" t="s">
        <v>27</v>
      </c>
      <c r="M47" s="189" t="s">
        <v>28</v>
      </c>
      <c r="N47" s="191" t="s">
        <v>267</v>
      </c>
    </row>
    <row r="48" spans="1:15" ht="18" hidden="1" customHeight="1">
      <c r="A48" s="347"/>
      <c r="B48" s="348"/>
      <c r="C48" s="281"/>
      <c r="D48" s="349">
        <v>0</v>
      </c>
      <c r="E48" s="350">
        <f>D48</f>
        <v>0</v>
      </c>
      <c r="F48" s="351">
        <v>0</v>
      </c>
      <c r="G48" s="169">
        <f>D48-F48</f>
        <v>0</v>
      </c>
      <c r="H48" s="170">
        <f>SUM(I48:N48)</f>
        <v>0</v>
      </c>
      <c r="I48" s="346">
        <v>0</v>
      </c>
      <c r="J48" s="158"/>
      <c r="K48" s="351"/>
      <c r="L48" s="351"/>
      <c r="M48" s="346">
        <v>0</v>
      </c>
      <c r="N48" s="169"/>
      <c r="O48" s="67" t="s">
        <v>270</v>
      </c>
    </row>
    <row r="49" spans="1:15" ht="19.5" hidden="1" customHeight="1">
      <c r="A49" s="156"/>
      <c r="B49" s="4" t="s">
        <v>14</v>
      </c>
      <c r="C49" s="157" t="s">
        <v>304</v>
      </c>
      <c r="D49" s="158">
        <f t="shared" ref="D49:N49" si="7">SUM(D48:D48)</f>
        <v>0</v>
      </c>
      <c r="E49" s="158">
        <f t="shared" si="7"/>
        <v>0</v>
      </c>
      <c r="F49" s="158">
        <f t="shared" si="7"/>
        <v>0</v>
      </c>
      <c r="G49" s="158">
        <f t="shared" si="7"/>
        <v>0</v>
      </c>
      <c r="H49" s="158">
        <f t="shared" si="7"/>
        <v>0</v>
      </c>
      <c r="I49" s="158">
        <f t="shared" si="7"/>
        <v>0</v>
      </c>
      <c r="J49" s="158">
        <f t="shared" si="7"/>
        <v>0</v>
      </c>
      <c r="K49" s="158">
        <f t="shared" si="7"/>
        <v>0</v>
      </c>
      <c r="L49" s="158">
        <f t="shared" si="7"/>
        <v>0</v>
      </c>
      <c r="M49" s="158">
        <f t="shared" si="7"/>
        <v>0</v>
      </c>
      <c r="N49" s="158">
        <f t="shared" si="7"/>
        <v>0</v>
      </c>
      <c r="O49" s="159"/>
    </row>
    <row r="50" spans="1:15" ht="18" hidden="1" customHeight="1">
      <c r="A50" s="156"/>
      <c r="B50" s="4"/>
      <c r="C50" s="157"/>
      <c r="D50" s="5"/>
      <c r="E50" s="5"/>
      <c r="F50" s="5"/>
      <c r="G50" s="5"/>
      <c r="H50" s="5"/>
      <c r="I50" s="5"/>
      <c r="J50" s="5"/>
      <c r="K50" s="5"/>
      <c r="L50" s="5"/>
      <c r="M50" s="5"/>
      <c r="N50" s="5"/>
      <c r="O50" s="159"/>
    </row>
    <row r="51" spans="1:15" ht="24.75" hidden="1" customHeight="1" thickBot="1">
      <c r="A51" s="70" t="s">
        <v>420</v>
      </c>
      <c r="B51" s="74"/>
      <c r="C51" s="71"/>
      <c r="D51" s="72"/>
      <c r="E51" s="72"/>
      <c r="F51" s="4"/>
      <c r="G51" s="4"/>
      <c r="H51" s="4"/>
      <c r="I51" s="4"/>
      <c r="J51" s="4"/>
      <c r="K51" s="4"/>
      <c r="L51" s="69"/>
      <c r="M51" s="4"/>
      <c r="N51" s="73" t="s">
        <v>41</v>
      </c>
    </row>
    <row r="52" spans="1:15" ht="38.25" hidden="1" customHeight="1" thickBot="1">
      <c r="A52" s="185" t="s">
        <v>259</v>
      </c>
      <c r="B52" s="186" t="s">
        <v>260</v>
      </c>
      <c r="C52" s="187" t="s">
        <v>261</v>
      </c>
      <c r="D52" s="186" t="s">
        <v>262</v>
      </c>
      <c r="E52" s="188" t="s">
        <v>263</v>
      </c>
      <c r="F52" s="189" t="s">
        <v>264</v>
      </c>
      <c r="G52" s="189" t="s">
        <v>265</v>
      </c>
      <c r="H52" s="189" t="s">
        <v>266</v>
      </c>
      <c r="I52" s="86" t="s">
        <v>24</v>
      </c>
      <c r="J52" s="87" t="s">
        <v>577</v>
      </c>
      <c r="K52" s="190" t="s">
        <v>26</v>
      </c>
      <c r="L52" s="189" t="s">
        <v>27</v>
      </c>
      <c r="M52" s="189" t="s">
        <v>28</v>
      </c>
      <c r="N52" s="191" t="s">
        <v>267</v>
      </c>
    </row>
    <row r="53" spans="1:15" ht="21.75" hidden="1" customHeight="1">
      <c r="A53" s="360"/>
      <c r="B53" s="364"/>
      <c r="C53" s="281"/>
      <c r="D53" s="167">
        <v>0</v>
      </c>
      <c r="E53" s="167">
        <f>D53</f>
        <v>0</v>
      </c>
      <c r="F53" s="168">
        <v>0</v>
      </c>
      <c r="G53" s="169">
        <f>D53-F53</f>
        <v>0</v>
      </c>
      <c r="H53" s="170">
        <f>SUM(K53:N53)</f>
        <v>0</v>
      </c>
      <c r="I53" s="170"/>
      <c r="J53" s="170"/>
      <c r="K53" s="169"/>
      <c r="L53" s="169"/>
      <c r="M53" s="168">
        <v>0</v>
      </c>
      <c r="N53" s="169"/>
      <c r="O53" s="67" t="s">
        <v>270</v>
      </c>
    </row>
    <row r="54" spans="1:15" ht="21.75" hidden="1" customHeight="1">
      <c r="A54" s="156"/>
      <c r="B54" s="4"/>
      <c r="C54" s="157" t="s">
        <v>304</v>
      </c>
      <c r="D54" s="158">
        <f t="shared" ref="D54:N54" si="8">SUM(D53:D53)</f>
        <v>0</v>
      </c>
      <c r="E54" s="158">
        <f t="shared" si="8"/>
        <v>0</v>
      </c>
      <c r="F54" s="158">
        <f t="shared" si="8"/>
        <v>0</v>
      </c>
      <c r="G54" s="158">
        <f t="shared" si="8"/>
        <v>0</v>
      </c>
      <c r="H54" s="158">
        <f t="shared" si="8"/>
        <v>0</v>
      </c>
      <c r="I54" s="158">
        <f t="shared" si="8"/>
        <v>0</v>
      </c>
      <c r="J54" s="158">
        <f t="shared" si="8"/>
        <v>0</v>
      </c>
      <c r="K54" s="158">
        <f t="shared" si="8"/>
        <v>0</v>
      </c>
      <c r="L54" s="158">
        <f t="shared" si="8"/>
        <v>0</v>
      </c>
      <c r="M54" s="158">
        <f t="shared" si="8"/>
        <v>0</v>
      </c>
      <c r="N54" s="158">
        <f t="shared" si="8"/>
        <v>0</v>
      </c>
      <c r="O54" s="159"/>
    </row>
    <row r="55" spans="1:15" ht="23.25" hidden="1" customHeight="1">
      <c r="A55" s="156"/>
      <c r="B55" s="4"/>
      <c r="C55" s="157"/>
      <c r="D55" s="5"/>
      <c r="E55" s="5"/>
      <c r="F55" s="5"/>
      <c r="G55" s="5"/>
      <c r="H55" s="5"/>
      <c r="I55" s="5"/>
      <c r="J55" s="5"/>
      <c r="K55" s="5"/>
      <c r="L55" s="5"/>
      <c r="M55" s="5"/>
      <c r="N55" s="5"/>
      <c r="O55" s="159"/>
    </row>
    <row r="56" spans="1:15" ht="27.75" hidden="1" customHeight="1" thickBot="1">
      <c r="A56" s="70" t="s">
        <v>422</v>
      </c>
      <c r="B56" s="74"/>
      <c r="C56" s="71"/>
      <c r="D56" s="72"/>
      <c r="E56" s="72"/>
      <c r="F56" s="4"/>
      <c r="G56" s="4"/>
      <c r="H56" s="4"/>
      <c r="I56" s="4"/>
      <c r="J56" s="4"/>
      <c r="K56" s="4"/>
      <c r="L56" s="69"/>
      <c r="M56" s="4"/>
      <c r="O56" s="159"/>
    </row>
    <row r="57" spans="1:15" ht="55.5" hidden="1" customHeight="1" thickBot="1">
      <c r="A57" s="185" t="s">
        <v>259</v>
      </c>
      <c r="B57" s="186" t="s">
        <v>260</v>
      </c>
      <c r="C57" s="187" t="s">
        <v>261</v>
      </c>
      <c r="D57" s="186" t="s">
        <v>262</v>
      </c>
      <c r="E57" s="188" t="s">
        <v>263</v>
      </c>
      <c r="F57" s="189" t="s">
        <v>264</v>
      </c>
      <c r="G57" s="189" t="s">
        <v>265</v>
      </c>
      <c r="H57" s="189" t="s">
        <v>266</v>
      </c>
      <c r="I57" s="86" t="s">
        <v>24</v>
      </c>
      <c r="J57" s="87" t="s">
        <v>577</v>
      </c>
      <c r="K57" s="190" t="s">
        <v>26</v>
      </c>
      <c r="L57" s="189" t="s">
        <v>27</v>
      </c>
      <c r="M57" s="189" t="s">
        <v>28</v>
      </c>
      <c r="N57" s="191" t="s">
        <v>267</v>
      </c>
      <c r="O57" s="159"/>
    </row>
    <row r="58" spans="1:15" ht="19.5" hidden="1" customHeight="1">
      <c r="A58" s="347"/>
      <c r="B58" s="352"/>
      <c r="C58" s="353"/>
      <c r="D58" s="167">
        <v>0</v>
      </c>
      <c r="E58" s="346">
        <f>D58</f>
        <v>0</v>
      </c>
      <c r="F58" s="168">
        <v>0</v>
      </c>
      <c r="G58" s="169">
        <f>D58-F58</f>
        <v>0</v>
      </c>
      <c r="H58" s="170">
        <f>SUM(I58:N58)</f>
        <v>0</v>
      </c>
      <c r="I58" s="168">
        <v>0</v>
      </c>
      <c r="J58" s="170"/>
      <c r="K58" s="169">
        <v>0</v>
      </c>
      <c r="L58" s="169"/>
      <c r="M58" s="168">
        <v>0</v>
      </c>
      <c r="N58" s="169"/>
      <c r="O58" s="67" t="s">
        <v>270</v>
      </c>
    </row>
    <row r="59" spans="1:15" ht="19.5" hidden="1" customHeight="1">
      <c r="A59" s="156"/>
      <c r="B59" s="4"/>
      <c r="C59" s="157" t="s">
        <v>304</v>
      </c>
      <c r="D59" s="158">
        <f t="shared" ref="D59:N59" si="9">SUM(D58:D58)</f>
        <v>0</v>
      </c>
      <c r="E59" s="158">
        <f t="shared" si="9"/>
        <v>0</v>
      </c>
      <c r="F59" s="158">
        <f t="shared" si="9"/>
        <v>0</v>
      </c>
      <c r="G59" s="158">
        <f t="shared" si="9"/>
        <v>0</v>
      </c>
      <c r="H59" s="158">
        <f t="shared" si="9"/>
        <v>0</v>
      </c>
      <c r="I59" s="158">
        <f t="shared" si="9"/>
        <v>0</v>
      </c>
      <c r="J59" s="158">
        <f t="shared" si="9"/>
        <v>0</v>
      </c>
      <c r="K59" s="158">
        <f t="shared" si="9"/>
        <v>0</v>
      </c>
      <c r="L59" s="158">
        <f t="shared" si="9"/>
        <v>0</v>
      </c>
      <c r="M59" s="158">
        <f t="shared" si="9"/>
        <v>0</v>
      </c>
      <c r="N59" s="158">
        <f t="shared" si="9"/>
        <v>0</v>
      </c>
      <c r="O59" s="159"/>
    </row>
    <row r="60" spans="1:15" ht="27.75" hidden="1" customHeight="1">
      <c r="A60" s="156"/>
      <c r="B60" s="4"/>
      <c r="C60" s="157"/>
      <c r="D60" s="5"/>
      <c r="E60" s="5"/>
      <c r="F60" s="5"/>
      <c r="G60" s="5"/>
      <c r="H60" s="5"/>
      <c r="I60" s="5"/>
      <c r="J60" s="5"/>
      <c r="K60" s="5"/>
      <c r="L60" s="5"/>
      <c r="M60" s="5"/>
      <c r="N60" s="5"/>
      <c r="O60" s="159"/>
    </row>
    <row r="61" spans="1:15" ht="42.75" hidden="1" customHeight="1" thickBot="1">
      <c r="A61" s="70" t="s">
        <v>433</v>
      </c>
      <c r="B61" s="181"/>
      <c r="C61" s="71"/>
      <c r="D61" s="72"/>
      <c r="E61" s="72"/>
      <c r="F61" s="4"/>
      <c r="G61" s="4"/>
      <c r="H61" s="4"/>
      <c r="I61" s="4"/>
      <c r="J61" s="4"/>
      <c r="K61" s="4"/>
      <c r="L61" s="69"/>
      <c r="M61" s="4"/>
      <c r="N61" s="73" t="s">
        <v>41</v>
      </c>
    </row>
    <row r="62" spans="1:15" ht="57" hidden="1" customHeight="1" thickBot="1">
      <c r="A62" s="185" t="s">
        <v>259</v>
      </c>
      <c r="B62" s="186" t="s">
        <v>260</v>
      </c>
      <c r="C62" s="187" t="s">
        <v>261</v>
      </c>
      <c r="D62" s="186" t="s">
        <v>262</v>
      </c>
      <c r="E62" s="188" t="s">
        <v>263</v>
      </c>
      <c r="F62" s="189" t="s">
        <v>264</v>
      </c>
      <c r="G62" s="189" t="s">
        <v>265</v>
      </c>
      <c r="H62" s="189" t="s">
        <v>266</v>
      </c>
      <c r="I62" s="86" t="s">
        <v>24</v>
      </c>
      <c r="J62" s="87" t="s">
        <v>577</v>
      </c>
      <c r="K62" s="190" t="s">
        <v>26</v>
      </c>
      <c r="L62" s="189" t="s">
        <v>27</v>
      </c>
      <c r="M62" s="189" t="s">
        <v>28</v>
      </c>
      <c r="N62" s="191" t="s">
        <v>267</v>
      </c>
    </row>
    <row r="63" spans="1:15" ht="16.5" hidden="1" customHeight="1">
      <c r="A63" s="342"/>
      <c r="B63" s="354"/>
      <c r="C63" s="195"/>
      <c r="D63" s="355">
        <v>0</v>
      </c>
      <c r="E63" s="167">
        <f>D63</f>
        <v>0</v>
      </c>
      <c r="F63" s="168">
        <v>0</v>
      </c>
      <c r="G63" s="169">
        <f>D63-F63</f>
        <v>0</v>
      </c>
      <c r="H63" s="170">
        <f>SUM(K63:N63)</f>
        <v>0</v>
      </c>
      <c r="I63" s="168">
        <v>0</v>
      </c>
      <c r="J63" s="170"/>
      <c r="K63" s="169">
        <v>0</v>
      </c>
      <c r="L63" s="169"/>
      <c r="M63" s="168">
        <v>0</v>
      </c>
      <c r="N63" s="169"/>
      <c r="O63" s="67" t="s">
        <v>270</v>
      </c>
    </row>
    <row r="64" spans="1:15" ht="16.5" hidden="1" customHeight="1">
      <c r="A64" s="156"/>
      <c r="B64" s="71"/>
      <c r="C64" s="157" t="s">
        <v>304</v>
      </c>
      <c r="D64" s="158">
        <f t="shared" ref="D64:N64" si="10">SUM(D63:D63)</f>
        <v>0</v>
      </c>
      <c r="E64" s="158">
        <f t="shared" si="10"/>
        <v>0</v>
      </c>
      <c r="F64" s="158">
        <f t="shared" si="10"/>
        <v>0</v>
      </c>
      <c r="G64" s="158">
        <f t="shared" si="10"/>
        <v>0</v>
      </c>
      <c r="H64" s="158">
        <f t="shared" si="10"/>
        <v>0</v>
      </c>
      <c r="I64" s="158">
        <f t="shared" si="10"/>
        <v>0</v>
      </c>
      <c r="J64" s="158">
        <f t="shared" si="10"/>
        <v>0</v>
      </c>
      <c r="K64" s="158">
        <f t="shared" si="10"/>
        <v>0</v>
      </c>
      <c r="L64" s="158">
        <f t="shared" si="10"/>
        <v>0</v>
      </c>
      <c r="M64" s="158">
        <f t="shared" si="10"/>
        <v>0</v>
      </c>
      <c r="N64" s="158">
        <f t="shared" si="10"/>
        <v>0</v>
      </c>
      <c r="O64" s="159"/>
    </row>
    <row r="65" spans="1:15" ht="13.5">
      <c r="A65" s="99"/>
      <c r="B65" s="143"/>
      <c r="C65" s="78"/>
      <c r="D65" s="6"/>
      <c r="E65" s="6"/>
      <c r="F65" s="6"/>
      <c r="G65" s="6"/>
      <c r="H65" s="6"/>
      <c r="I65" s="6"/>
      <c r="J65" s="6"/>
      <c r="K65" s="6"/>
      <c r="L65" s="6"/>
      <c r="M65" s="6"/>
      <c r="N65" s="6"/>
      <c r="O65" s="3"/>
    </row>
    <row r="66" spans="1:15" ht="15.75">
      <c r="A66" s="321"/>
      <c r="B66" s="322"/>
      <c r="C66" s="323"/>
      <c r="D66" s="324" t="s">
        <v>244</v>
      </c>
      <c r="E66" s="324"/>
      <c r="F66" s="322"/>
      <c r="G66" s="290"/>
      <c r="H66" s="290"/>
      <c r="I66" s="290"/>
      <c r="J66" s="290"/>
      <c r="K66" s="290"/>
      <c r="L66" s="290"/>
      <c r="M66" s="322"/>
      <c r="N66" s="290"/>
      <c r="O66" s="325"/>
    </row>
    <row r="67" spans="1:15" ht="15.75">
      <c r="A67" s="326"/>
      <c r="B67" s="292" t="s">
        <v>243</v>
      </c>
      <c r="C67" s="323"/>
      <c r="D67" s="298"/>
      <c r="E67" s="298"/>
      <c r="F67" s="299"/>
      <c r="G67" s="322"/>
      <c r="H67" s="286"/>
      <c r="I67" s="291"/>
      <c r="J67" s="298"/>
      <c r="K67" s="322"/>
      <c r="L67" s="308" t="s">
        <v>245</v>
      </c>
      <c r="M67" s="322"/>
      <c r="N67" s="298"/>
      <c r="O67" s="325"/>
    </row>
    <row r="68" spans="1:15" ht="15.75">
      <c r="A68" s="293"/>
      <c r="B68" s="292" t="s">
        <v>246</v>
      </c>
      <c r="C68" s="323"/>
      <c r="D68" s="299"/>
      <c r="E68" s="299"/>
      <c r="F68" s="322"/>
      <c r="G68" s="303" t="s">
        <v>248</v>
      </c>
      <c r="H68" s="286"/>
      <c r="I68" s="291"/>
      <c r="J68" s="299"/>
      <c r="K68" s="322"/>
      <c r="L68" s="302" t="s">
        <v>247</v>
      </c>
      <c r="M68" s="291"/>
      <c r="N68" s="299"/>
      <c r="O68" s="299"/>
    </row>
    <row r="69" spans="1:15" ht="15.75">
      <c r="A69" s="293"/>
      <c r="B69" s="302" t="s">
        <v>249</v>
      </c>
      <c r="C69" s="309"/>
      <c r="D69" s="299"/>
      <c r="E69" s="299"/>
      <c r="F69" s="322"/>
      <c r="G69" s="303" t="s">
        <v>250</v>
      </c>
      <c r="H69" s="302"/>
      <c r="I69" s="291"/>
      <c r="J69" s="299"/>
      <c r="K69" s="322"/>
      <c r="L69" s="302"/>
      <c r="M69" s="302" t="s">
        <v>251</v>
      </c>
      <c r="N69" s="299"/>
      <c r="O69" s="299"/>
    </row>
    <row r="70" spans="1:15" ht="15.75">
      <c r="A70" s="327"/>
      <c r="B70" s="302" t="s">
        <v>252</v>
      </c>
      <c r="C70" s="299"/>
      <c r="D70" s="299"/>
      <c r="E70" s="299"/>
      <c r="F70" s="306"/>
      <c r="G70" s="307" t="s">
        <v>253</v>
      </c>
      <c r="H70" s="297"/>
      <c r="I70" s="308"/>
      <c r="J70" s="299"/>
      <c r="K70" s="322"/>
      <c r="L70" s="322"/>
      <c r="M70" s="302" t="s">
        <v>254</v>
      </c>
      <c r="N70" s="308"/>
      <c r="O70" s="297" t="s">
        <v>448</v>
      </c>
    </row>
    <row r="71" spans="1:15" ht="15.75">
      <c r="A71" s="327"/>
      <c r="B71" s="302"/>
      <c r="C71" s="302"/>
      <c r="D71" s="309"/>
      <c r="E71" s="309"/>
      <c r="F71" s="302"/>
      <c r="G71" s="297"/>
      <c r="H71" s="302"/>
      <c r="I71" s="302"/>
      <c r="J71" s="302"/>
      <c r="K71" s="306"/>
      <c r="L71" s="299"/>
      <c r="M71" s="302"/>
      <c r="N71" s="302"/>
      <c r="O71" s="297"/>
    </row>
    <row r="72" spans="1:15" ht="15">
      <c r="A72" s="310"/>
      <c r="B72" s="310"/>
      <c r="C72" s="310"/>
      <c r="D72" s="310"/>
      <c r="E72" s="310"/>
      <c r="F72" s="310"/>
      <c r="G72" s="294"/>
      <c r="H72" s="310"/>
      <c r="I72" s="310"/>
      <c r="J72" s="310"/>
      <c r="K72" s="310"/>
      <c r="L72" s="310"/>
      <c r="M72" s="310"/>
      <c r="N72" s="311"/>
      <c r="O72" s="312"/>
    </row>
    <row r="73" spans="1:15" ht="13.5">
      <c r="A73" s="319"/>
      <c r="B73" s="319"/>
      <c r="C73" s="319"/>
      <c r="D73" s="319"/>
      <c r="E73" s="319"/>
      <c r="F73" s="319"/>
      <c r="G73" s="319"/>
      <c r="H73" s="319"/>
      <c r="I73" s="319"/>
      <c r="J73" s="319"/>
      <c r="K73" s="319"/>
      <c r="L73" s="318"/>
      <c r="M73" s="294"/>
      <c r="N73" s="319"/>
      <c r="O73" s="319"/>
    </row>
    <row r="74" spans="1:15" ht="13.5">
      <c r="B74" s="147"/>
      <c r="C74" s="3"/>
      <c r="L74" s="78"/>
      <c r="O74" s="3"/>
    </row>
    <row r="75" spans="1:15" ht="13.5">
      <c r="A75" s="6"/>
      <c r="C75" s="6"/>
      <c r="D75" s="6"/>
      <c r="E75" s="6"/>
      <c r="F75" s="6"/>
      <c r="G75" s="6"/>
      <c r="H75" s="6"/>
      <c r="I75" s="6"/>
      <c r="J75" s="6"/>
      <c r="K75" s="78"/>
      <c r="L75" s="78"/>
      <c r="M75" s="6"/>
      <c r="N75" s="6"/>
      <c r="O75" s="6"/>
    </row>
    <row r="76" spans="1:15" ht="13.5">
      <c r="A76" s="6"/>
      <c r="C76" s="6"/>
      <c r="D76" s="6"/>
      <c r="E76" s="6"/>
      <c r="F76" s="6"/>
      <c r="G76" s="6"/>
      <c r="H76" s="6"/>
      <c r="I76" s="6"/>
      <c r="J76" s="6"/>
      <c r="K76" s="78"/>
      <c r="L76" s="78"/>
      <c r="M76" s="6"/>
      <c r="N76" s="6"/>
      <c r="O76" s="6"/>
    </row>
    <row r="77" spans="1:15" ht="13.5">
      <c r="A77" s="6"/>
      <c r="B77" s="6"/>
      <c r="C77" s="6"/>
      <c r="D77" s="6"/>
      <c r="E77" s="6"/>
      <c r="F77" s="6"/>
      <c r="G77" s="6"/>
      <c r="H77" s="6"/>
      <c r="I77" s="6"/>
      <c r="J77" s="6"/>
      <c r="K77" s="78"/>
      <c r="L77" s="78"/>
      <c r="M77" s="6"/>
      <c r="N77" s="6"/>
      <c r="O77" s="6"/>
    </row>
  </sheetData>
  <mergeCells count="2">
    <mergeCell ref="A7:N7"/>
    <mergeCell ref="A26:B26"/>
  </mergeCells>
  <pageMargins left="0.51181102362204722" right="0.39370078740157483" top="0.39370078740157483" bottom="0.78740157480314965" header="0.31496062992125984" footer="0.39370078740157483"/>
  <pageSetup paperSize="9" orientation="landscape" r:id="rId1"/>
  <headerFooter alignWithMargins="0">
    <oddFooter xml:space="preserve">&amp;C&amp;8 Pagina &amp;P din &amp;N&amp;R&amp;8(L1) HCL nr.  din 
Studii și proiecte ANEXA 3 BIS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O90"/>
  <sheetViews>
    <sheetView view="pageBreakPreview" zoomScaleNormal="115" zoomScaleSheetLayoutView="100" workbookViewId="0">
      <selection activeCell="L38" sqref="L38"/>
    </sheetView>
  </sheetViews>
  <sheetFormatPr defaultRowHeight="13.5"/>
  <cols>
    <col min="1" max="1" width="3.85546875" style="6" customWidth="1"/>
    <col min="2" max="2" width="34.85546875" style="6" customWidth="1"/>
    <col min="3" max="3" width="13" style="6" customWidth="1"/>
    <col min="4" max="4" width="7.5703125" style="6" customWidth="1"/>
    <col min="5" max="5" width="8.5703125" style="6" customWidth="1"/>
    <col min="6" max="6" width="8.140625" style="6" customWidth="1"/>
    <col min="7" max="7" width="6.7109375" style="6" customWidth="1"/>
    <col min="8" max="8" width="7.85546875" style="78" customWidth="1"/>
    <col min="9" max="9" width="6.5703125" style="78" customWidth="1"/>
    <col min="10" max="10" width="7.7109375" style="78" customWidth="1"/>
    <col min="11" max="11" width="7.140625" style="6" customWidth="1"/>
    <col min="12" max="12" width="7.5703125" style="6" customWidth="1"/>
    <col min="13" max="13" width="6.5703125" style="6" customWidth="1"/>
    <col min="14" max="14" width="5.7109375" style="6" customWidth="1"/>
    <col min="15" max="15" width="5.7109375" style="82" customWidth="1"/>
    <col min="16" max="16384" width="9.140625" style="6"/>
  </cols>
  <sheetData>
    <row r="1" spans="1:15">
      <c r="F1" s="3"/>
      <c r="G1" s="75"/>
      <c r="H1" s="248"/>
      <c r="I1" s="249"/>
      <c r="J1" s="249"/>
      <c r="K1" s="248"/>
      <c r="L1" s="79"/>
      <c r="M1" s="79"/>
      <c r="N1" s="79" t="s">
        <v>255</v>
      </c>
      <c r="O1" s="80"/>
    </row>
    <row r="2" spans="1:15" ht="15">
      <c r="B2" s="81"/>
      <c r="D2" s="294"/>
      <c r="E2" s="294"/>
      <c r="F2" s="314" t="s">
        <v>3</v>
      </c>
      <c r="G2" s="314" t="s">
        <v>4</v>
      </c>
      <c r="H2" s="314"/>
      <c r="I2" s="314"/>
      <c r="J2" s="314"/>
      <c r="K2" s="314" t="s">
        <v>5</v>
      </c>
      <c r="L2" s="248"/>
      <c r="M2" s="201"/>
    </row>
    <row r="3" spans="1:15" ht="15">
      <c r="A3" s="9"/>
      <c r="B3" s="78"/>
      <c r="D3" s="294"/>
      <c r="E3" s="294"/>
      <c r="F3" s="314" t="s">
        <v>7</v>
      </c>
      <c r="G3" s="315"/>
      <c r="H3" s="314"/>
      <c r="I3" s="314"/>
      <c r="J3" s="314"/>
      <c r="K3" s="314" t="s">
        <v>8</v>
      </c>
      <c r="L3" s="248"/>
      <c r="M3" s="129"/>
    </row>
    <row r="4" spans="1:15" ht="15">
      <c r="D4" s="294"/>
      <c r="E4" s="316"/>
      <c r="F4" s="314" t="s">
        <v>10</v>
      </c>
      <c r="G4" s="313"/>
      <c r="H4" s="313"/>
      <c r="I4" s="313"/>
      <c r="J4" s="312"/>
      <c r="K4" s="314" t="s">
        <v>11</v>
      </c>
      <c r="L4" s="248"/>
      <c r="M4" s="129"/>
    </row>
    <row r="5" spans="1:15" ht="15">
      <c r="D5" s="294"/>
      <c r="E5" s="294"/>
      <c r="F5" s="317" t="s">
        <v>13</v>
      </c>
      <c r="G5" s="294"/>
      <c r="H5" s="313"/>
      <c r="I5" s="294"/>
      <c r="J5" s="318"/>
      <c r="K5" s="319"/>
      <c r="L5" s="201"/>
      <c r="M5" s="129"/>
    </row>
    <row r="6" spans="1:15" ht="12.75" customHeight="1">
      <c r="B6" s="6" t="s">
        <v>449</v>
      </c>
      <c r="D6" s="294"/>
      <c r="E6" s="294"/>
      <c r="F6" s="294"/>
      <c r="G6" s="294"/>
      <c r="H6" s="313"/>
      <c r="I6" s="294"/>
      <c r="J6" s="318"/>
      <c r="K6" s="294"/>
      <c r="L6" s="201"/>
      <c r="M6" s="129"/>
    </row>
    <row r="7" spans="1:15" ht="12.75" customHeight="1">
      <c r="H7" s="129"/>
      <c r="I7" s="6"/>
      <c r="L7" s="201"/>
      <c r="M7" s="129"/>
    </row>
    <row r="8" spans="1:15" ht="16.5" customHeight="1">
      <c r="H8" s="129"/>
      <c r="I8" s="6"/>
      <c r="L8" s="201"/>
      <c r="M8" s="129"/>
    </row>
    <row r="9" spans="1:15" ht="16.5" customHeight="1">
      <c r="A9" s="389" t="s">
        <v>450</v>
      </c>
      <c r="B9" s="389"/>
      <c r="C9" s="389"/>
      <c r="D9" s="389"/>
      <c r="E9" s="389"/>
      <c r="F9" s="389"/>
      <c r="G9" s="389"/>
      <c r="H9" s="389"/>
      <c r="I9" s="389"/>
      <c r="J9" s="389"/>
      <c r="K9" s="389"/>
      <c r="L9" s="389"/>
      <c r="M9" s="389"/>
      <c r="N9" s="389"/>
      <c r="O9" s="389"/>
    </row>
    <row r="10" spans="1:15" ht="16.5" customHeight="1">
      <c r="A10" s="374"/>
      <c r="B10" s="374"/>
      <c r="C10" s="374"/>
      <c r="D10" s="374"/>
      <c r="E10" s="374"/>
      <c r="F10" s="374"/>
      <c r="G10" s="374"/>
      <c r="H10" s="374"/>
      <c r="I10" s="374"/>
      <c r="J10" s="374"/>
      <c r="K10" s="374"/>
      <c r="L10" s="374"/>
      <c r="M10" s="374"/>
      <c r="N10" s="374"/>
      <c r="O10" s="374"/>
    </row>
    <row r="11" spans="1:15" ht="14.25" customHeight="1">
      <c r="A11" s="374"/>
      <c r="B11" s="374"/>
      <c r="C11" s="374"/>
      <c r="D11" s="374"/>
      <c r="E11" s="374"/>
      <c r="F11" s="374"/>
      <c r="G11" s="374"/>
      <c r="H11" s="374"/>
      <c r="I11" s="374"/>
      <c r="J11" s="374"/>
      <c r="K11" s="374"/>
      <c r="L11" s="374"/>
      <c r="M11" s="374"/>
      <c r="N11" s="374"/>
      <c r="O11" s="374"/>
    </row>
    <row r="12" spans="1:15" ht="16.5" hidden="1" customHeight="1" thickBot="1">
      <c r="A12" s="70" t="s">
        <v>451</v>
      </c>
      <c r="B12" s="4"/>
      <c r="C12" s="83"/>
      <c r="D12" s="374"/>
      <c r="E12" s="374"/>
      <c r="F12" s="374"/>
      <c r="G12" s="374"/>
      <c r="H12" s="374"/>
      <c r="I12" s="374"/>
      <c r="J12" s="374"/>
      <c r="K12" s="374"/>
      <c r="L12" s="374"/>
      <c r="M12" s="374"/>
      <c r="N12" s="85" t="s">
        <v>41</v>
      </c>
      <c r="O12" s="84"/>
    </row>
    <row r="13" spans="1:15" ht="48.75" hidden="1" thickBot="1">
      <c r="A13" s="185" t="s">
        <v>259</v>
      </c>
      <c r="B13" s="186" t="s">
        <v>260</v>
      </c>
      <c r="C13" s="187" t="s">
        <v>261</v>
      </c>
      <c r="D13" s="186" t="s">
        <v>262</v>
      </c>
      <c r="E13" s="188" t="s">
        <v>263</v>
      </c>
      <c r="F13" s="189" t="s">
        <v>264</v>
      </c>
      <c r="G13" s="189" t="s">
        <v>265</v>
      </c>
      <c r="H13" s="189" t="s">
        <v>266</v>
      </c>
      <c r="I13" s="86" t="s">
        <v>24</v>
      </c>
      <c r="J13" s="87" t="s">
        <v>577</v>
      </c>
      <c r="K13" s="190" t="s">
        <v>26</v>
      </c>
      <c r="L13" s="189" t="s">
        <v>27</v>
      </c>
      <c r="M13" s="189" t="s">
        <v>28</v>
      </c>
      <c r="N13" s="191" t="s">
        <v>267</v>
      </c>
      <c r="O13" s="84"/>
    </row>
    <row r="14" spans="1:15" ht="20.25" hidden="1" customHeight="1">
      <c r="A14" s="284"/>
      <c r="B14" s="133"/>
      <c r="C14" s="195"/>
      <c r="D14" s="89">
        <v>0</v>
      </c>
      <c r="E14" s="89">
        <f>D14</f>
        <v>0</v>
      </c>
      <c r="F14" s="89">
        <v>0</v>
      </c>
      <c r="G14" s="89">
        <f>E14-F14</f>
        <v>0</v>
      </c>
      <c r="H14" s="90">
        <f>SUM(I14:N14)</f>
        <v>0</v>
      </c>
      <c r="I14" s="91">
        <v>0</v>
      </c>
      <c r="J14" s="91"/>
      <c r="K14" s="91">
        <v>0</v>
      </c>
      <c r="L14" s="283"/>
      <c r="M14" s="91">
        <v>0</v>
      </c>
      <c r="N14" s="91"/>
      <c r="O14" s="246" t="s">
        <v>453</v>
      </c>
    </row>
    <row r="15" spans="1:15" ht="20.25" hidden="1" customHeight="1">
      <c r="A15" s="78"/>
      <c r="B15" s="92"/>
      <c r="C15" s="78" t="s">
        <v>304</v>
      </c>
      <c r="D15" s="93">
        <f t="shared" ref="D15:N15" si="0">SUM(D14:D14)</f>
        <v>0</v>
      </c>
      <c r="E15" s="93">
        <f t="shared" si="0"/>
        <v>0</v>
      </c>
      <c r="F15" s="93">
        <f t="shared" si="0"/>
        <v>0</v>
      </c>
      <c r="G15" s="93">
        <f t="shared" si="0"/>
        <v>0</v>
      </c>
      <c r="H15" s="93">
        <f t="shared" si="0"/>
        <v>0</v>
      </c>
      <c r="I15" s="93">
        <f t="shared" si="0"/>
        <v>0</v>
      </c>
      <c r="J15" s="93">
        <f t="shared" si="0"/>
        <v>0</v>
      </c>
      <c r="K15" s="93">
        <f t="shared" si="0"/>
        <v>0</v>
      </c>
      <c r="L15" s="93">
        <f t="shared" si="0"/>
        <v>0</v>
      </c>
      <c r="M15" s="93">
        <f t="shared" si="0"/>
        <v>0</v>
      </c>
      <c r="N15" s="93">
        <f t="shared" si="0"/>
        <v>0</v>
      </c>
      <c r="O15" s="94"/>
    </row>
    <row r="16" spans="1:15" ht="15.75" hidden="1" customHeight="1">
      <c r="A16" s="78"/>
      <c r="B16" s="92"/>
      <c r="C16" s="78"/>
      <c r="D16" s="9"/>
      <c r="E16" s="9"/>
      <c r="F16" s="9"/>
      <c r="G16" s="9"/>
      <c r="H16" s="9"/>
      <c r="I16" s="9"/>
      <c r="J16" s="9"/>
      <c r="K16" s="9"/>
      <c r="L16" s="9"/>
      <c r="M16" s="9"/>
      <c r="N16" s="9"/>
      <c r="O16" s="94"/>
    </row>
    <row r="17" spans="1:15" ht="20.25" hidden="1" customHeight="1" thickBot="1">
      <c r="A17" s="203" t="s">
        <v>467</v>
      </c>
      <c r="B17" s="92"/>
      <c r="C17" s="78"/>
      <c r="D17" s="9"/>
      <c r="E17" s="9"/>
      <c r="F17" s="9"/>
      <c r="G17" s="9"/>
      <c r="H17" s="9"/>
      <c r="I17" s="9"/>
      <c r="J17" s="9"/>
      <c r="K17" s="9"/>
      <c r="L17" s="9"/>
      <c r="M17" s="9"/>
      <c r="N17" s="85" t="s">
        <v>41</v>
      </c>
      <c r="O17" s="94"/>
    </row>
    <row r="18" spans="1:15" ht="57" hidden="1" customHeight="1" thickBot="1">
      <c r="A18" s="185" t="s">
        <v>259</v>
      </c>
      <c r="B18" s="186" t="s">
        <v>260</v>
      </c>
      <c r="C18" s="187" t="s">
        <v>261</v>
      </c>
      <c r="D18" s="186" t="s">
        <v>262</v>
      </c>
      <c r="E18" s="188" t="s">
        <v>263</v>
      </c>
      <c r="F18" s="189" t="s">
        <v>264</v>
      </c>
      <c r="G18" s="189" t="s">
        <v>265</v>
      </c>
      <c r="H18" s="189" t="s">
        <v>266</v>
      </c>
      <c r="I18" s="86" t="s">
        <v>24</v>
      </c>
      <c r="J18" s="87" t="s">
        <v>577</v>
      </c>
      <c r="K18" s="190" t="s">
        <v>26</v>
      </c>
      <c r="L18" s="189" t="s">
        <v>27</v>
      </c>
      <c r="M18" s="189" t="s">
        <v>28</v>
      </c>
      <c r="N18" s="191" t="s">
        <v>267</v>
      </c>
      <c r="O18" s="84"/>
    </row>
    <row r="19" spans="1:15" ht="16.5" hidden="1" customHeight="1">
      <c r="A19" s="88"/>
      <c r="B19" s="132"/>
      <c r="C19" s="195"/>
      <c r="D19" s="89">
        <v>0</v>
      </c>
      <c r="E19" s="89">
        <f>D19</f>
        <v>0</v>
      </c>
      <c r="F19" s="89">
        <v>0</v>
      </c>
      <c r="G19" s="89">
        <f>E19-F19</f>
        <v>0</v>
      </c>
      <c r="H19" s="90">
        <f>SUM(I19:N19)</f>
        <v>0</v>
      </c>
      <c r="I19" s="91"/>
      <c r="J19" s="91"/>
      <c r="K19" s="257"/>
      <c r="L19" s="258"/>
      <c r="M19" s="259">
        <v>0</v>
      </c>
      <c r="N19" s="257"/>
      <c r="O19" s="246" t="s">
        <v>517</v>
      </c>
    </row>
    <row r="20" spans="1:15" ht="16.5" hidden="1" customHeight="1">
      <c r="A20" s="78"/>
      <c r="B20" s="92"/>
      <c r="C20" s="78" t="s">
        <v>304</v>
      </c>
      <c r="D20" s="93">
        <f t="shared" ref="D20:N20" si="1">SUM(D19:D19)</f>
        <v>0</v>
      </c>
      <c r="E20" s="93">
        <f t="shared" si="1"/>
        <v>0</v>
      </c>
      <c r="F20" s="93">
        <f t="shared" si="1"/>
        <v>0</v>
      </c>
      <c r="G20" s="93">
        <f t="shared" si="1"/>
        <v>0</v>
      </c>
      <c r="H20" s="93">
        <f t="shared" si="1"/>
        <v>0</v>
      </c>
      <c r="I20" s="93">
        <f t="shared" si="1"/>
        <v>0</v>
      </c>
      <c r="J20" s="93">
        <f t="shared" si="1"/>
        <v>0</v>
      </c>
      <c r="K20" s="93">
        <f t="shared" si="1"/>
        <v>0</v>
      </c>
      <c r="L20" s="93">
        <f t="shared" si="1"/>
        <v>0</v>
      </c>
      <c r="M20" s="93">
        <f t="shared" si="1"/>
        <v>0</v>
      </c>
      <c r="N20" s="93">
        <f t="shared" si="1"/>
        <v>0</v>
      </c>
      <c r="O20" s="94"/>
    </row>
    <row r="21" spans="1:15" ht="24" customHeight="1" thickBot="1">
      <c r="A21" s="182" t="s">
        <v>473</v>
      </c>
      <c r="B21" s="92"/>
      <c r="C21" s="78"/>
      <c r="D21" s="9"/>
      <c r="E21" s="9"/>
      <c r="F21" s="9"/>
      <c r="G21" s="9"/>
      <c r="H21" s="9"/>
      <c r="I21" s="9"/>
      <c r="J21" s="9"/>
      <c r="K21" s="9"/>
      <c r="L21" s="9"/>
      <c r="M21" s="9"/>
      <c r="N21" s="199" t="s">
        <v>41</v>
      </c>
      <c r="O21" s="94"/>
    </row>
    <row r="22" spans="1:15" ht="57.75" customHeight="1" thickBot="1">
      <c r="A22" s="185" t="s">
        <v>259</v>
      </c>
      <c r="B22" s="186" t="s">
        <v>260</v>
      </c>
      <c r="C22" s="187" t="s">
        <v>261</v>
      </c>
      <c r="D22" s="186" t="s">
        <v>262</v>
      </c>
      <c r="E22" s="188" t="s">
        <v>263</v>
      </c>
      <c r="F22" s="189" t="s">
        <v>264</v>
      </c>
      <c r="G22" s="189" t="s">
        <v>265</v>
      </c>
      <c r="H22" s="189" t="s">
        <v>266</v>
      </c>
      <c r="I22" s="86" t="s">
        <v>24</v>
      </c>
      <c r="J22" s="87" t="s">
        <v>577</v>
      </c>
      <c r="K22" s="190" t="s">
        <v>26</v>
      </c>
      <c r="L22" s="189" t="s">
        <v>27</v>
      </c>
      <c r="M22" s="189" t="s">
        <v>28</v>
      </c>
      <c r="N22" s="191" t="s">
        <v>267</v>
      </c>
      <c r="O22" s="94"/>
    </row>
    <row r="23" spans="1:15" ht="54" customHeight="1">
      <c r="A23" s="284">
        <v>1</v>
      </c>
      <c r="B23" s="133" t="s">
        <v>583</v>
      </c>
      <c r="C23" s="195" t="s">
        <v>269</v>
      </c>
      <c r="D23" s="89">
        <v>6</v>
      </c>
      <c r="E23" s="89">
        <f>D23</f>
        <v>6</v>
      </c>
      <c r="F23" s="89">
        <v>0</v>
      </c>
      <c r="G23" s="89">
        <f>E23-F23</f>
        <v>6</v>
      </c>
      <c r="H23" s="90">
        <f>SUM(I23:N23)</f>
        <v>6</v>
      </c>
      <c r="I23" s="91"/>
      <c r="J23" s="91">
        <v>6</v>
      </c>
      <c r="K23" s="91"/>
      <c r="L23" s="283"/>
      <c r="M23" s="91"/>
      <c r="N23" s="91"/>
      <c r="O23" s="246" t="s">
        <v>453</v>
      </c>
    </row>
    <row r="24" spans="1:15" ht="48.75" customHeight="1">
      <c r="A24" s="284">
        <v>2</v>
      </c>
      <c r="B24" s="133" t="s">
        <v>498</v>
      </c>
      <c r="C24" s="195" t="s">
        <v>269</v>
      </c>
      <c r="D24" s="89">
        <v>1</v>
      </c>
      <c r="E24" s="89">
        <f>D24</f>
        <v>1</v>
      </c>
      <c r="F24" s="89">
        <v>0</v>
      </c>
      <c r="G24" s="89">
        <f>E24-F24</f>
        <v>1</v>
      </c>
      <c r="H24" s="90">
        <f>SUM(J24:N24)</f>
        <v>1</v>
      </c>
      <c r="I24" s="91"/>
      <c r="J24" s="91">
        <v>1</v>
      </c>
      <c r="K24" s="91"/>
      <c r="L24" s="283"/>
      <c r="M24" s="91"/>
      <c r="N24" s="91"/>
      <c r="O24" s="246" t="s">
        <v>453</v>
      </c>
    </row>
    <row r="25" spans="1:15" ht="48.75" customHeight="1">
      <c r="A25" s="284">
        <v>3</v>
      </c>
      <c r="B25" s="133" t="s">
        <v>499</v>
      </c>
      <c r="C25" s="195" t="s">
        <v>269</v>
      </c>
      <c r="D25" s="89">
        <v>1</v>
      </c>
      <c r="E25" s="89">
        <f>D25</f>
        <v>1</v>
      </c>
      <c r="F25" s="89">
        <v>0</v>
      </c>
      <c r="G25" s="89">
        <f>E25-F25</f>
        <v>1</v>
      </c>
      <c r="H25" s="90">
        <f>SUM(J25:N25)</f>
        <v>1</v>
      </c>
      <c r="I25" s="91"/>
      <c r="J25" s="91">
        <v>1</v>
      </c>
      <c r="K25" s="91"/>
      <c r="L25" s="283"/>
      <c r="M25" s="91"/>
      <c r="N25" s="91"/>
      <c r="O25" s="246" t="s">
        <v>453</v>
      </c>
    </row>
    <row r="26" spans="1:15" ht="24.75" customHeight="1">
      <c r="A26" s="78"/>
      <c r="B26" s="92" t="s">
        <v>304</v>
      </c>
      <c r="C26" s="78"/>
      <c r="D26" s="97">
        <f t="shared" ref="D26:N26" si="2">SUM(D23:D25)</f>
        <v>8</v>
      </c>
      <c r="E26" s="97">
        <f t="shared" si="2"/>
        <v>8</v>
      </c>
      <c r="F26" s="97">
        <f t="shared" si="2"/>
        <v>0</v>
      </c>
      <c r="G26" s="97">
        <f t="shared" si="2"/>
        <v>8</v>
      </c>
      <c r="H26" s="97">
        <f t="shared" si="2"/>
        <v>8</v>
      </c>
      <c r="I26" s="97">
        <f t="shared" si="2"/>
        <v>0</v>
      </c>
      <c r="J26" s="97">
        <f t="shared" si="2"/>
        <v>8</v>
      </c>
      <c r="K26" s="97">
        <f t="shared" si="2"/>
        <v>0</v>
      </c>
      <c r="L26" s="97">
        <f t="shared" si="2"/>
        <v>0</v>
      </c>
      <c r="M26" s="97">
        <f t="shared" si="2"/>
        <v>0</v>
      </c>
      <c r="N26" s="97">
        <f t="shared" si="2"/>
        <v>0</v>
      </c>
      <c r="O26" s="94"/>
    </row>
    <row r="27" spans="1:15" ht="19.5" customHeight="1">
      <c r="A27" s="78"/>
      <c r="B27" s="92"/>
      <c r="C27" s="78"/>
      <c r="D27" s="104"/>
      <c r="E27" s="104"/>
      <c r="F27" s="104"/>
      <c r="G27" s="104"/>
      <c r="H27" s="104"/>
      <c r="I27" s="104"/>
      <c r="J27" s="104"/>
      <c r="K27" s="104"/>
      <c r="L27" s="104"/>
      <c r="M27" s="104"/>
      <c r="N27" s="104"/>
      <c r="O27" s="94"/>
    </row>
    <row r="28" spans="1:15" ht="19.5" customHeight="1">
      <c r="A28" s="78"/>
      <c r="B28" s="92"/>
      <c r="C28" s="78"/>
      <c r="D28" s="104"/>
      <c r="E28" s="104"/>
      <c r="F28" s="104"/>
      <c r="G28" s="104"/>
      <c r="H28" s="104"/>
      <c r="I28" s="104"/>
      <c r="J28" s="104"/>
      <c r="K28" s="104"/>
      <c r="L28" s="104"/>
      <c r="M28" s="104"/>
      <c r="N28" s="104"/>
      <c r="O28" s="94"/>
    </row>
    <row r="29" spans="1:15" ht="26.25" customHeight="1">
      <c r="A29" s="78"/>
      <c r="B29" s="92"/>
      <c r="C29" s="78"/>
      <c r="D29" s="104"/>
      <c r="E29" s="104"/>
      <c r="F29" s="104"/>
      <c r="G29" s="104"/>
      <c r="H29" s="104"/>
      <c r="I29" s="104"/>
      <c r="J29" s="104"/>
      <c r="K29" s="104"/>
      <c r="L29" s="104"/>
      <c r="M29" s="104"/>
      <c r="N29" s="104"/>
      <c r="O29" s="94"/>
    </row>
    <row r="30" spans="1:15" ht="26.25" customHeight="1" thickBot="1">
      <c r="A30" s="277" t="s">
        <v>502</v>
      </c>
      <c r="B30" s="98"/>
      <c r="C30" s="78"/>
      <c r="D30" s="92"/>
      <c r="E30" s="76"/>
      <c r="F30" s="76"/>
      <c r="G30" s="76"/>
      <c r="H30" s="76"/>
      <c r="I30" s="76"/>
      <c r="J30" s="76"/>
      <c r="K30" s="76"/>
      <c r="L30" s="76"/>
      <c r="M30" s="76"/>
      <c r="N30" s="200" t="s">
        <v>41</v>
      </c>
      <c r="O30" s="99"/>
    </row>
    <row r="31" spans="1:15" ht="61.5" customHeight="1" thickBot="1">
      <c r="A31" s="185" t="s">
        <v>259</v>
      </c>
      <c r="B31" s="186" t="s">
        <v>260</v>
      </c>
      <c r="C31" s="187" t="s">
        <v>261</v>
      </c>
      <c r="D31" s="186" t="s">
        <v>262</v>
      </c>
      <c r="E31" s="188" t="s">
        <v>263</v>
      </c>
      <c r="F31" s="189" t="s">
        <v>264</v>
      </c>
      <c r="G31" s="189" t="s">
        <v>265</v>
      </c>
      <c r="H31" s="189" t="s">
        <v>266</v>
      </c>
      <c r="I31" s="86" t="s">
        <v>24</v>
      </c>
      <c r="J31" s="87" t="s">
        <v>577</v>
      </c>
      <c r="K31" s="190" t="s">
        <v>26</v>
      </c>
      <c r="L31" s="189" t="s">
        <v>27</v>
      </c>
      <c r="M31" s="189" t="s">
        <v>28</v>
      </c>
      <c r="N31" s="191" t="s">
        <v>267</v>
      </c>
      <c r="O31" s="84"/>
    </row>
    <row r="32" spans="1:15" ht="49.5" customHeight="1">
      <c r="A32" s="284">
        <v>1</v>
      </c>
      <c r="B32" s="133" t="s">
        <v>504</v>
      </c>
      <c r="C32" s="195" t="s">
        <v>269</v>
      </c>
      <c r="D32" s="89">
        <v>1</v>
      </c>
      <c r="E32" s="89">
        <f>D32</f>
        <v>1</v>
      </c>
      <c r="F32" s="89">
        <v>0</v>
      </c>
      <c r="G32" s="89">
        <f>E32-F32</f>
        <v>1</v>
      </c>
      <c r="H32" s="90">
        <f>SUM(I32:N32)</f>
        <v>1</v>
      </c>
      <c r="I32" s="91"/>
      <c r="J32" s="91">
        <v>1</v>
      </c>
      <c r="K32" s="91"/>
      <c r="L32" s="283"/>
      <c r="M32" s="91"/>
      <c r="N32" s="91"/>
      <c r="O32" s="246" t="s">
        <v>453</v>
      </c>
    </row>
    <row r="33" spans="1:15" ht="28.5" customHeight="1">
      <c r="A33" s="78"/>
      <c r="B33" s="92"/>
      <c r="C33" s="78" t="s">
        <v>304</v>
      </c>
      <c r="D33" s="101">
        <f t="shared" ref="D33:N33" si="3">SUM(D32:D32)</f>
        <v>1</v>
      </c>
      <c r="E33" s="101">
        <f t="shared" si="3"/>
        <v>1</v>
      </c>
      <c r="F33" s="101">
        <f t="shared" si="3"/>
        <v>0</v>
      </c>
      <c r="G33" s="101">
        <f t="shared" si="3"/>
        <v>1</v>
      </c>
      <c r="H33" s="101">
        <f t="shared" si="3"/>
        <v>1</v>
      </c>
      <c r="I33" s="101">
        <f t="shared" si="3"/>
        <v>0</v>
      </c>
      <c r="J33" s="101">
        <f t="shared" si="3"/>
        <v>1</v>
      </c>
      <c r="K33" s="101">
        <f t="shared" si="3"/>
        <v>0</v>
      </c>
      <c r="L33" s="101">
        <f t="shared" si="3"/>
        <v>0</v>
      </c>
      <c r="M33" s="101">
        <f t="shared" si="3"/>
        <v>0</v>
      </c>
      <c r="N33" s="101">
        <f t="shared" si="3"/>
        <v>0</v>
      </c>
      <c r="O33" s="94"/>
    </row>
    <row r="34" spans="1:15" ht="21" customHeight="1">
      <c r="A34" s="78"/>
      <c r="B34" s="92"/>
      <c r="C34" s="78"/>
      <c r="D34" s="125"/>
      <c r="E34" s="125"/>
      <c r="F34" s="125"/>
      <c r="G34" s="125"/>
      <c r="H34" s="125"/>
      <c r="I34" s="125"/>
      <c r="J34" s="125"/>
      <c r="K34" s="125"/>
      <c r="L34" s="125"/>
      <c r="M34" s="125"/>
      <c r="N34" s="125"/>
      <c r="O34" s="94"/>
    </row>
    <row r="35" spans="1:15" ht="21" customHeight="1">
      <c r="A35" s="78"/>
      <c r="B35" s="92"/>
      <c r="C35" s="78"/>
      <c r="D35" s="125"/>
      <c r="E35" s="125"/>
      <c r="F35" s="125"/>
      <c r="G35" s="125"/>
      <c r="H35" s="125"/>
      <c r="I35" s="125"/>
      <c r="J35" s="125"/>
      <c r="K35" s="125"/>
      <c r="L35" s="125"/>
      <c r="M35" s="125"/>
      <c r="N35" s="125"/>
      <c r="O35" s="94"/>
    </row>
    <row r="36" spans="1:15" ht="28.5" customHeight="1">
      <c r="A36" s="78"/>
      <c r="B36" s="92"/>
      <c r="C36" s="78"/>
      <c r="D36" s="125"/>
      <c r="E36" s="125"/>
      <c r="F36" s="125"/>
      <c r="G36" s="125"/>
      <c r="H36" s="125"/>
      <c r="I36" s="125"/>
      <c r="J36" s="125"/>
      <c r="K36" s="125"/>
      <c r="L36" s="125"/>
      <c r="M36" s="125"/>
      <c r="N36" s="125"/>
      <c r="O36" s="94"/>
    </row>
    <row r="37" spans="1:15" ht="24" customHeight="1" thickBot="1">
      <c r="A37" s="70" t="s">
        <v>355</v>
      </c>
      <c r="B37" s="4"/>
      <c r="C37" s="78"/>
      <c r="D37" s="92"/>
      <c r="E37" s="76"/>
      <c r="F37" s="76"/>
      <c r="G37" s="76"/>
      <c r="H37" s="76"/>
      <c r="I37" s="76"/>
      <c r="J37" s="76"/>
      <c r="K37" s="76"/>
      <c r="L37" s="76"/>
      <c r="M37" s="76"/>
      <c r="N37" s="85" t="s">
        <v>41</v>
      </c>
      <c r="O37" s="99"/>
    </row>
    <row r="38" spans="1:15" ht="63" customHeight="1" thickBot="1">
      <c r="A38" s="185" t="s">
        <v>259</v>
      </c>
      <c r="B38" s="186" t="s">
        <v>260</v>
      </c>
      <c r="C38" s="187" t="s">
        <v>261</v>
      </c>
      <c r="D38" s="186" t="s">
        <v>262</v>
      </c>
      <c r="E38" s="188" t="s">
        <v>263</v>
      </c>
      <c r="F38" s="189" t="s">
        <v>264</v>
      </c>
      <c r="G38" s="189" t="s">
        <v>265</v>
      </c>
      <c r="H38" s="189" t="s">
        <v>266</v>
      </c>
      <c r="I38" s="86" t="s">
        <v>24</v>
      </c>
      <c r="J38" s="87" t="s">
        <v>577</v>
      </c>
      <c r="K38" s="190" t="s">
        <v>26</v>
      </c>
      <c r="L38" s="189" t="s">
        <v>27</v>
      </c>
      <c r="M38" s="189" t="s">
        <v>28</v>
      </c>
      <c r="N38" s="191" t="s">
        <v>267</v>
      </c>
      <c r="O38" s="84"/>
    </row>
    <row r="39" spans="1:15" ht="50.25" customHeight="1">
      <c r="A39" s="284">
        <v>1</v>
      </c>
      <c r="B39" s="133" t="s">
        <v>511</v>
      </c>
      <c r="C39" s="195" t="s">
        <v>269</v>
      </c>
      <c r="D39" s="89">
        <v>1</v>
      </c>
      <c r="E39" s="89">
        <f>D39</f>
        <v>1</v>
      </c>
      <c r="F39" s="89">
        <v>0</v>
      </c>
      <c r="G39" s="89">
        <f>E39-F39</f>
        <v>1</v>
      </c>
      <c r="H39" s="90">
        <f>SUM(I39:N39)</f>
        <v>1</v>
      </c>
      <c r="I39" s="91">
        <v>0</v>
      </c>
      <c r="J39" s="91">
        <v>1</v>
      </c>
      <c r="K39" s="91"/>
      <c r="L39" s="283"/>
      <c r="M39" s="91"/>
      <c r="N39" s="91"/>
      <c r="O39" s="246" t="s">
        <v>453</v>
      </c>
    </row>
    <row r="40" spans="1:15" ht="24.75" customHeight="1">
      <c r="A40" s="78"/>
      <c r="B40" s="92"/>
      <c r="C40" s="78" t="s">
        <v>304</v>
      </c>
      <c r="D40" s="101">
        <f t="shared" ref="D40:N40" si="4">SUM(D39:D39)</f>
        <v>1</v>
      </c>
      <c r="E40" s="101">
        <f t="shared" si="4"/>
        <v>1</v>
      </c>
      <c r="F40" s="101">
        <f t="shared" si="4"/>
        <v>0</v>
      </c>
      <c r="G40" s="101">
        <f t="shared" si="4"/>
        <v>1</v>
      </c>
      <c r="H40" s="101">
        <f t="shared" si="4"/>
        <v>1</v>
      </c>
      <c r="I40" s="101">
        <f t="shared" si="4"/>
        <v>0</v>
      </c>
      <c r="J40" s="101">
        <f t="shared" si="4"/>
        <v>1</v>
      </c>
      <c r="K40" s="101">
        <f t="shared" si="4"/>
        <v>0</v>
      </c>
      <c r="L40" s="101">
        <f t="shared" si="4"/>
        <v>0</v>
      </c>
      <c r="M40" s="101">
        <f t="shared" si="4"/>
        <v>0</v>
      </c>
      <c r="N40" s="101">
        <f t="shared" si="4"/>
        <v>0</v>
      </c>
      <c r="O40" s="94"/>
    </row>
    <row r="41" spans="1:15" s="98" customFormat="1" ht="33" hidden="1" customHeight="1" thickBot="1">
      <c r="A41" s="76" t="s">
        <v>518</v>
      </c>
      <c r="B41" s="9"/>
      <c r="C41" s="6"/>
      <c r="D41" s="9"/>
      <c r="E41" s="9"/>
      <c r="F41" s="9"/>
      <c r="G41" s="9"/>
      <c r="H41" s="6"/>
      <c r="I41" s="6"/>
      <c r="J41" s="6"/>
      <c r="K41" s="6"/>
      <c r="L41" s="49"/>
      <c r="M41" s="6"/>
      <c r="N41" s="102" t="s">
        <v>41</v>
      </c>
      <c r="O41" s="99"/>
    </row>
    <row r="42" spans="1:15" ht="48.75" hidden="1" thickBot="1">
      <c r="A42" s="185" t="s">
        <v>259</v>
      </c>
      <c r="B42" s="186" t="s">
        <v>260</v>
      </c>
      <c r="C42" s="187" t="s">
        <v>261</v>
      </c>
      <c r="D42" s="186" t="s">
        <v>262</v>
      </c>
      <c r="E42" s="188" t="s">
        <v>263</v>
      </c>
      <c r="F42" s="189" t="s">
        <v>264</v>
      </c>
      <c r="G42" s="189" t="s">
        <v>265</v>
      </c>
      <c r="H42" s="189" t="s">
        <v>266</v>
      </c>
      <c r="I42" s="86" t="s">
        <v>24</v>
      </c>
      <c r="J42" s="87" t="s">
        <v>577</v>
      </c>
      <c r="K42" s="190" t="s">
        <v>26</v>
      </c>
      <c r="L42" s="189" t="s">
        <v>27</v>
      </c>
      <c r="M42" s="189" t="s">
        <v>28</v>
      </c>
      <c r="N42" s="191" t="s">
        <v>267</v>
      </c>
      <c r="O42" s="84"/>
    </row>
    <row r="43" spans="1:15" ht="17.25" hidden="1" customHeight="1">
      <c r="A43" s="88"/>
      <c r="B43" s="132"/>
      <c r="C43" s="198"/>
      <c r="D43" s="282">
        <v>0</v>
      </c>
      <c r="E43" s="282">
        <f>D43</f>
        <v>0</v>
      </c>
      <c r="F43" s="282">
        <v>0</v>
      </c>
      <c r="G43" s="132">
        <f>E43-F43</f>
        <v>0</v>
      </c>
      <c r="H43" s="95">
        <f>SUM(I43:N43)</f>
        <v>0</v>
      </c>
      <c r="I43" s="282"/>
      <c r="J43" s="282"/>
      <c r="K43" s="282"/>
      <c r="L43" s="282"/>
      <c r="M43" s="282">
        <v>0</v>
      </c>
      <c r="N43" s="282"/>
      <c r="O43" s="246" t="s">
        <v>270</v>
      </c>
    </row>
    <row r="44" spans="1:15" s="103" customFormat="1" ht="17.25" hidden="1" customHeight="1">
      <c r="A44" s="6"/>
      <c r="B44" s="92"/>
      <c r="C44" s="78" t="s">
        <v>304</v>
      </c>
      <c r="D44" s="93">
        <f t="shared" ref="D44:N44" si="5">SUM(D43:D43)</f>
        <v>0</v>
      </c>
      <c r="E44" s="93">
        <f t="shared" si="5"/>
        <v>0</v>
      </c>
      <c r="F44" s="93">
        <f t="shared" si="5"/>
        <v>0</v>
      </c>
      <c r="G44" s="93">
        <f t="shared" si="5"/>
        <v>0</v>
      </c>
      <c r="H44" s="93">
        <f t="shared" si="5"/>
        <v>0</v>
      </c>
      <c r="I44" s="93">
        <f t="shared" si="5"/>
        <v>0</v>
      </c>
      <c r="J44" s="93">
        <f t="shared" si="5"/>
        <v>0</v>
      </c>
      <c r="K44" s="93">
        <f t="shared" si="5"/>
        <v>0</v>
      </c>
      <c r="L44" s="93">
        <f t="shared" si="5"/>
        <v>0</v>
      </c>
      <c r="M44" s="93">
        <f t="shared" si="5"/>
        <v>0</v>
      </c>
      <c r="N44" s="93">
        <f t="shared" si="5"/>
        <v>0</v>
      </c>
      <c r="O44" s="94"/>
    </row>
    <row r="45" spans="1:15" s="103" customFormat="1" ht="33.75" hidden="1" customHeight="1">
      <c r="A45" s="6"/>
      <c r="B45" s="92"/>
      <c r="C45" s="78"/>
      <c r="D45" s="9"/>
      <c r="E45" s="9"/>
      <c r="F45" s="9"/>
      <c r="G45" s="9"/>
      <c r="H45" s="9"/>
      <c r="I45" s="9"/>
      <c r="J45" s="9"/>
      <c r="K45" s="9"/>
      <c r="L45" s="9"/>
      <c r="M45" s="9"/>
      <c r="N45" s="9"/>
      <c r="O45" s="94"/>
    </row>
    <row r="46" spans="1:15" s="107" customFormat="1" ht="25.5" hidden="1" customHeight="1" thickBot="1">
      <c r="A46" s="76" t="s">
        <v>522</v>
      </c>
      <c r="B46" s="105"/>
      <c r="C46" s="105"/>
      <c r="D46" s="105"/>
      <c r="E46" s="105"/>
      <c r="F46" s="105"/>
      <c r="G46" s="105"/>
      <c r="H46" s="106"/>
      <c r="I46" s="106"/>
      <c r="J46" s="106"/>
      <c r="K46" s="106"/>
      <c r="L46" s="106"/>
      <c r="M46" s="106"/>
      <c r="N46" s="102" t="s">
        <v>41</v>
      </c>
      <c r="O46" s="94"/>
    </row>
    <row r="47" spans="1:15" ht="48.75" hidden="1" thickBot="1">
      <c r="A47" s="185" t="s">
        <v>259</v>
      </c>
      <c r="B47" s="186" t="s">
        <v>260</v>
      </c>
      <c r="C47" s="187" t="s">
        <v>261</v>
      </c>
      <c r="D47" s="186" t="s">
        <v>262</v>
      </c>
      <c r="E47" s="188" t="s">
        <v>263</v>
      </c>
      <c r="F47" s="189" t="s">
        <v>264</v>
      </c>
      <c r="G47" s="189" t="s">
        <v>265</v>
      </c>
      <c r="H47" s="189" t="s">
        <v>266</v>
      </c>
      <c r="I47" s="86" t="s">
        <v>24</v>
      </c>
      <c r="J47" s="87" t="s">
        <v>577</v>
      </c>
      <c r="K47" s="190" t="s">
        <v>26</v>
      </c>
      <c r="L47" s="189" t="s">
        <v>27</v>
      </c>
      <c r="M47" s="189" t="s">
        <v>28</v>
      </c>
      <c r="N47" s="191" t="s">
        <v>267</v>
      </c>
      <c r="O47" s="84"/>
    </row>
    <row r="48" spans="1:15" s="9" customFormat="1" ht="18" hidden="1" customHeight="1">
      <c r="A48" s="284"/>
      <c r="B48" s="133"/>
      <c r="C48" s="281"/>
      <c r="D48" s="89">
        <v>0</v>
      </c>
      <c r="E48" s="89">
        <f>D48</f>
        <v>0</v>
      </c>
      <c r="F48" s="89">
        <v>0</v>
      </c>
      <c r="G48" s="89">
        <f>E48-F48</f>
        <v>0</v>
      </c>
      <c r="H48" s="90">
        <f>SUM(J48:N48)</f>
        <v>0</v>
      </c>
      <c r="I48" s="91"/>
      <c r="J48" s="91"/>
      <c r="K48" s="91"/>
      <c r="L48" s="283">
        <v>0</v>
      </c>
      <c r="M48" s="91">
        <v>0</v>
      </c>
      <c r="N48" s="91">
        <v>0</v>
      </c>
      <c r="O48" s="246" t="s">
        <v>453</v>
      </c>
    </row>
    <row r="49" spans="1:15" ht="18" hidden="1" customHeight="1">
      <c r="A49" s="105"/>
      <c r="B49" s="106"/>
      <c r="C49" s="79" t="s">
        <v>304</v>
      </c>
      <c r="D49" s="108">
        <f t="shared" ref="D49:N49" si="6">SUM(D48:D48)</f>
        <v>0</v>
      </c>
      <c r="E49" s="108">
        <f t="shared" si="6"/>
        <v>0</v>
      </c>
      <c r="F49" s="108">
        <f t="shared" si="6"/>
        <v>0</v>
      </c>
      <c r="G49" s="108">
        <f t="shared" si="6"/>
        <v>0</v>
      </c>
      <c r="H49" s="108">
        <f t="shared" si="6"/>
        <v>0</v>
      </c>
      <c r="I49" s="108">
        <f t="shared" si="6"/>
        <v>0</v>
      </c>
      <c r="J49" s="108">
        <f t="shared" si="6"/>
        <v>0</v>
      </c>
      <c r="K49" s="108">
        <f t="shared" si="6"/>
        <v>0</v>
      </c>
      <c r="L49" s="108">
        <f t="shared" si="6"/>
        <v>0</v>
      </c>
      <c r="M49" s="108">
        <f t="shared" si="6"/>
        <v>0</v>
      </c>
      <c r="N49" s="108">
        <f t="shared" si="6"/>
        <v>0</v>
      </c>
      <c r="O49" s="109"/>
    </row>
    <row r="50" spans="1:15" s="79" customFormat="1" ht="25.5" hidden="1" customHeight="1"/>
    <row r="51" spans="1:15" s="74" customFormat="1" ht="20.25" hidden="1" customHeight="1" thickBot="1">
      <c r="A51" s="70" t="s">
        <v>416</v>
      </c>
      <c r="C51" s="71"/>
      <c r="D51" s="4"/>
      <c r="E51" s="72"/>
      <c r="F51" s="4"/>
      <c r="G51" s="4"/>
      <c r="H51" s="4"/>
      <c r="I51" s="4"/>
      <c r="J51" s="4"/>
      <c r="K51" s="4"/>
      <c r="M51" s="110"/>
      <c r="N51" s="73" t="s">
        <v>41</v>
      </c>
    </row>
    <row r="52" spans="1:15" ht="48.75" hidden="1" customHeight="1" thickBot="1">
      <c r="A52" s="185" t="s">
        <v>259</v>
      </c>
      <c r="B52" s="186" t="s">
        <v>260</v>
      </c>
      <c r="C52" s="187" t="s">
        <v>261</v>
      </c>
      <c r="D52" s="186" t="s">
        <v>262</v>
      </c>
      <c r="E52" s="188" t="s">
        <v>263</v>
      </c>
      <c r="F52" s="189" t="s">
        <v>264</v>
      </c>
      <c r="G52" s="189" t="s">
        <v>265</v>
      </c>
      <c r="H52" s="189" t="s">
        <v>266</v>
      </c>
      <c r="I52" s="86" t="s">
        <v>24</v>
      </c>
      <c r="J52" s="87" t="s">
        <v>577</v>
      </c>
      <c r="K52" s="190" t="s">
        <v>26</v>
      </c>
      <c r="L52" s="189" t="s">
        <v>27</v>
      </c>
      <c r="M52" s="189" t="s">
        <v>28</v>
      </c>
      <c r="N52" s="191" t="s">
        <v>267</v>
      </c>
      <c r="O52" s="84"/>
    </row>
    <row r="53" spans="1:15" ht="19.5" hidden="1" customHeight="1">
      <c r="A53" s="284"/>
      <c r="B53" s="133"/>
      <c r="C53" s="195"/>
      <c r="D53" s="89">
        <v>0</v>
      </c>
      <c r="E53" s="89">
        <f>D53</f>
        <v>0</v>
      </c>
      <c r="F53" s="89">
        <v>0</v>
      </c>
      <c r="G53" s="89">
        <f>E53-F53</f>
        <v>0</v>
      </c>
      <c r="H53" s="90">
        <f>SUM(I53:N53)</f>
        <v>0</v>
      </c>
      <c r="I53" s="91">
        <v>0</v>
      </c>
      <c r="J53" s="91"/>
      <c r="K53" s="91">
        <v>0</v>
      </c>
      <c r="L53" s="283"/>
      <c r="M53" s="91">
        <v>0</v>
      </c>
      <c r="N53" s="91"/>
      <c r="O53" s="246" t="s">
        <v>453</v>
      </c>
    </row>
    <row r="54" spans="1:15" ht="19.5" hidden="1" customHeight="1">
      <c r="A54" s="99"/>
      <c r="B54" s="143"/>
      <c r="C54" s="78" t="s">
        <v>304</v>
      </c>
      <c r="D54" s="93">
        <f t="shared" ref="D54:N54" si="7">SUM(D53:D53)</f>
        <v>0</v>
      </c>
      <c r="E54" s="93">
        <f t="shared" si="7"/>
        <v>0</v>
      </c>
      <c r="F54" s="93">
        <f t="shared" si="7"/>
        <v>0</v>
      </c>
      <c r="G54" s="93">
        <f t="shared" si="7"/>
        <v>0</v>
      </c>
      <c r="H54" s="93">
        <f t="shared" si="7"/>
        <v>0</v>
      </c>
      <c r="I54" s="93">
        <f t="shared" si="7"/>
        <v>0</v>
      </c>
      <c r="J54" s="93">
        <f t="shared" si="7"/>
        <v>0</v>
      </c>
      <c r="K54" s="93">
        <f t="shared" si="7"/>
        <v>0</v>
      </c>
      <c r="L54" s="93">
        <f t="shared" si="7"/>
        <v>0</v>
      </c>
      <c r="M54" s="93">
        <f t="shared" si="7"/>
        <v>0</v>
      </c>
      <c r="N54" s="93">
        <f t="shared" si="7"/>
        <v>0</v>
      </c>
    </row>
    <row r="55" spans="1:15" ht="21" hidden="1" customHeight="1">
      <c r="A55" s="99"/>
      <c r="B55" s="143"/>
      <c r="C55" s="78"/>
      <c r="D55" s="9"/>
      <c r="E55" s="9"/>
      <c r="F55" s="9"/>
      <c r="G55" s="9"/>
      <c r="H55" s="9"/>
      <c r="I55" s="9"/>
      <c r="J55" s="9"/>
      <c r="K55" s="9"/>
      <c r="L55" s="9"/>
      <c r="M55" s="9"/>
      <c r="N55" s="9"/>
    </row>
    <row r="56" spans="1:15" s="75" customFormat="1" ht="19.5" hidden="1" customHeight="1" thickBot="1">
      <c r="A56" s="9" t="s">
        <v>531</v>
      </c>
      <c r="B56" s="92"/>
      <c r="C56" s="78"/>
      <c r="D56" s="9"/>
      <c r="E56" s="9"/>
      <c r="F56" s="9"/>
      <c r="G56" s="9"/>
      <c r="H56" s="9"/>
      <c r="I56" s="9"/>
      <c r="J56" s="9"/>
      <c r="K56" s="9"/>
      <c r="L56" s="9"/>
      <c r="M56" s="9"/>
      <c r="N56" s="73" t="s">
        <v>41</v>
      </c>
      <c r="O56" s="94"/>
    </row>
    <row r="57" spans="1:15" s="75" customFormat="1" ht="51" hidden="1" customHeight="1" thickBot="1">
      <c r="A57" s="185" t="s">
        <v>259</v>
      </c>
      <c r="B57" s="186" t="s">
        <v>260</v>
      </c>
      <c r="C57" s="187" t="s">
        <v>261</v>
      </c>
      <c r="D57" s="186" t="s">
        <v>262</v>
      </c>
      <c r="E57" s="188" t="s">
        <v>263</v>
      </c>
      <c r="F57" s="189" t="s">
        <v>264</v>
      </c>
      <c r="G57" s="189" t="s">
        <v>265</v>
      </c>
      <c r="H57" s="189" t="s">
        <v>266</v>
      </c>
      <c r="I57" s="86" t="s">
        <v>24</v>
      </c>
      <c r="J57" s="87" t="s">
        <v>577</v>
      </c>
      <c r="K57" s="190" t="s">
        <v>26</v>
      </c>
      <c r="L57" s="189" t="s">
        <v>27</v>
      </c>
      <c r="M57" s="189" t="s">
        <v>28</v>
      </c>
      <c r="N57" s="191" t="s">
        <v>267</v>
      </c>
      <c r="O57" s="94"/>
    </row>
    <row r="58" spans="1:15" ht="16.5" hidden="1" customHeight="1">
      <c r="A58" s="88"/>
      <c r="B58" s="132"/>
      <c r="C58" s="195"/>
      <c r="D58" s="282">
        <v>0</v>
      </c>
      <c r="E58" s="282">
        <f>D58</f>
        <v>0</v>
      </c>
      <c r="F58" s="282">
        <v>0</v>
      </c>
      <c r="G58" s="132">
        <f>E58-F58</f>
        <v>0</v>
      </c>
      <c r="H58" s="95">
        <f>SUM(I58:N58)</f>
        <v>0</v>
      </c>
      <c r="I58" s="282"/>
      <c r="J58" s="282"/>
      <c r="K58" s="282">
        <v>0</v>
      </c>
      <c r="L58" s="282"/>
      <c r="M58" s="282">
        <v>0</v>
      </c>
      <c r="N58" s="282"/>
      <c r="O58" s="246" t="s">
        <v>532</v>
      </c>
    </row>
    <row r="59" spans="1:15" s="75" customFormat="1" ht="16.5" hidden="1" customHeight="1">
      <c r="A59" s="78"/>
      <c r="B59" s="78"/>
      <c r="C59" s="78" t="s">
        <v>304</v>
      </c>
      <c r="D59" s="93">
        <f t="shared" ref="D59:N59" si="8">SUM(D58:D58)</f>
        <v>0</v>
      </c>
      <c r="E59" s="93">
        <f t="shared" si="8"/>
        <v>0</v>
      </c>
      <c r="F59" s="93">
        <f t="shared" si="8"/>
        <v>0</v>
      </c>
      <c r="G59" s="93">
        <f t="shared" si="8"/>
        <v>0</v>
      </c>
      <c r="H59" s="93">
        <f t="shared" si="8"/>
        <v>0</v>
      </c>
      <c r="I59" s="93">
        <f t="shared" si="8"/>
        <v>0</v>
      </c>
      <c r="J59" s="93">
        <f t="shared" si="8"/>
        <v>0</v>
      </c>
      <c r="K59" s="93">
        <f t="shared" si="8"/>
        <v>0</v>
      </c>
      <c r="L59" s="93">
        <f t="shared" si="8"/>
        <v>0</v>
      </c>
      <c r="M59" s="93">
        <f t="shared" si="8"/>
        <v>0</v>
      </c>
      <c r="N59" s="93">
        <f t="shared" si="8"/>
        <v>0</v>
      </c>
      <c r="O59" s="82"/>
    </row>
    <row r="60" spans="1:15" s="75" customFormat="1" ht="15.75" hidden="1" customHeight="1">
      <c r="A60" s="78"/>
      <c r="B60" s="78"/>
      <c r="C60" s="78"/>
      <c r="D60" s="9"/>
      <c r="E60" s="9"/>
      <c r="F60" s="9"/>
      <c r="G60" s="9"/>
      <c r="H60" s="9"/>
      <c r="I60" s="9"/>
      <c r="J60" s="9"/>
      <c r="K60" s="9"/>
      <c r="L60" s="9"/>
      <c r="M60" s="9"/>
      <c r="N60" s="9"/>
      <c r="O60" s="82"/>
    </row>
    <row r="61" spans="1:15" s="75" customFormat="1" ht="19.5" hidden="1" customHeight="1" thickBot="1">
      <c r="A61" s="9" t="s">
        <v>422</v>
      </c>
      <c r="B61" s="92"/>
      <c r="C61" s="78"/>
      <c r="D61" s="9"/>
      <c r="E61" s="9"/>
      <c r="F61" s="9"/>
      <c r="G61" s="9"/>
      <c r="H61" s="9"/>
      <c r="I61" s="9"/>
      <c r="J61" s="9"/>
      <c r="K61" s="9"/>
      <c r="L61" s="9"/>
      <c r="M61" s="9"/>
      <c r="N61" s="9"/>
      <c r="O61" s="94"/>
    </row>
    <row r="62" spans="1:15" s="75" customFormat="1" ht="49.5" hidden="1" customHeight="1" thickBot="1">
      <c r="A62" s="185" t="s">
        <v>259</v>
      </c>
      <c r="B62" s="186" t="s">
        <v>260</v>
      </c>
      <c r="C62" s="187" t="s">
        <v>261</v>
      </c>
      <c r="D62" s="186" t="s">
        <v>262</v>
      </c>
      <c r="E62" s="188" t="s">
        <v>263</v>
      </c>
      <c r="F62" s="189" t="s">
        <v>264</v>
      </c>
      <c r="G62" s="189" t="s">
        <v>265</v>
      </c>
      <c r="H62" s="189" t="s">
        <v>266</v>
      </c>
      <c r="I62" s="86" t="s">
        <v>24</v>
      </c>
      <c r="J62" s="87" t="s">
        <v>577</v>
      </c>
      <c r="K62" s="190" t="s">
        <v>26</v>
      </c>
      <c r="L62" s="189" t="s">
        <v>27</v>
      </c>
      <c r="M62" s="189" t="s">
        <v>28</v>
      </c>
      <c r="N62" s="191" t="s">
        <v>267</v>
      </c>
      <c r="O62" s="94"/>
    </row>
    <row r="63" spans="1:15" s="75" customFormat="1" ht="14.25" hidden="1" customHeight="1">
      <c r="A63" s="88"/>
      <c r="B63" s="132"/>
      <c r="C63" s="195"/>
      <c r="D63" s="89">
        <v>0</v>
      </c>
      <c r="E63" s="89">
        <f>D63</f>
        <v>0</v>
      </c>
      <c r="F63" s="89">
        <v>0</v>
      </c>
      <c r="G63" s="89">
        <f>E63-F63</f>
        <v>0</v>
      </c>
      <c r="H63" s="90">
        <f>SUM(J63:N63)</f>
        <v>0</v>
      </c>
      <c r="I63" s="91"/>
      <c r="J63" s="91"/>
      <c r="K63" s="91">
        <v>0</v>
      </c>
      <c r="L63" s="283"/>
      <c r="M63" s="282">
        <v>0</v>
      </c>
      <c r="N63" s="91"/>
      <c r="O63" s="166" t="s">
        <v>546</v>
      </c>
    </row>
    <row r="64" spans="1:15" s="75" customFormat="1" ht="14.25" hidden="1" customHeight="1">
      <c r="A64" s="78"/>
      <c r="B64" s="78"/>
      <c r="C64" s="78" t="s">
        <v>304</v>
      </c>
      <c r="D64" s="93">
        <f t="shared" ref="D64:N64" si="9">SUM(D63:D63)</f>
        <v>0</v>
      </c>
      <c r="E64" s="93">
        <f t="shared" si="9"/>
        <v>0</v>
      </c>
      <c r="F64" s="93">
        <f t="shared" si="9"/>
        <v>0</v>
      </c>
      <c r="G64" s="93">
        <f t="shared" si="9"/>
        <v>0</v>
      </c>
      <c r="H64" s="93">
        <f t="shared" si="9"/>
        <v>0</v>
      </c>
      <c r="I64" s="93">
        <f t="shared" si="9"/>
        <v>0</v>
      </c>
      <c r="J64" s="93">
        <f t="shared" si="9"/>
        <v>0</v>
      </c>
      <c r="K64" s="93">
        <f t="shared" si="9"/>
        <v>0</v>
      </c>
      <c r="L64" s="93">
        <f t="shared" si="9"/>
        <v>0</v>
      </c>
      <c r="M64" s="93">
        <f t="shared" si="9"/>
        <v>0</v>
      </c>
      <c r="N64" s="93">
        <f t="shared" si="9"/>
        <v>0</v>
      </c>
      <c r="O64" s="82"/>
    </row>
    <row r="65" spans="1:15" s="75" customFormat="1" ht="14.25" hidden="1" customHeight="1">
      <c r="A65" s="78"/>
      <c r="B65" s="78"/>
      <c r="C65" s="78"/>
      <c r="D65" s="9"/>
      <c r="E65" s="9"/>
      <c r="F65" s="9"/>
      <c r="G65" s="9"/>
      <c r="H65" s="9"/>
      <c r="I65" s="9"/>
      <c r="J65" s="9"/>
      <c r="K65" s="9"/>
      <c r="L65" s="9"/>
      <c r="M65" s="9"/>
      <c r="N65" s="9"/>
      <c r="O65" s="82"/>
    </row>
    <row r="66" spans="1:15" s="75" customFormat="1" ht="14.25" hidden="1" customHeight="1">
      <c r="A66" s="78"/>
      <c r="B66" s="78"/>
      <c r="C66" s="78"/>
      <c r="D66" s="9"/>
      <c r="E66" s="9"/>
      <c r="F66" s="9"/>
      <c r="G66" s="9"/>
      <c r="H66" s="9"/>
      <c r="I66" s="9"/>
      <c r="J66" s="9"/>
      <c r="K66" s="9"/>
      <c r="L66" s="9"/>
      <c r="M66" s="9"/>
      <c r="N66" s="9"/>
      <c r="O66" s="82"/>
    </row>
    <row r="67" spans="1:15" s="75" customFormat="1" ht="14.25" hidden="1" customHeight="1">
      <c r="A67" s="78"/>
      <c r="B67" s="78"/>
      <c r="C67" s="78"/>
      <c r="D67" s="9"/>
      <c r="E67" s="9"/>
      <c r="F67" s="9"/>
      <c r="G67" s="9"/>
      <c r="H67" s="9"/>
      <c r="I67" s="9"/>
      <c r="J67" s="9"/>
      <c r="K67" s="9"/>
      <c r="L67" s="9"/>
      <c r="M67" s="9"/>
      <c r="N67" s="9"/>
      <c r="O67" s="82"/>
    </row>
    <row r="68" spans="1:15" s="75" customFormat="1" ht="74.25" customHeight="1">
      <c r="A68" s="78"/>
      <c r="B68" s="78"/>
      <c r="C68" s="78"/>
      <c r="D68" s="9"/>
      <c r="E68" s="9"/>
      <c r="F68" s="9"/>
      <c r="G68" s="9"/>
      <c r="H68" s="9"/>
      <c r="I68" s="9"/>
      <c r="J68" s="9"/>
      <c r="K68" s="9"/>
      <c r="L68" s="9"/>
      <c r="M68" s="9"/>
      <c r="N68" s="9"/>
      <c r="O68" s="82"/>
    </row>
    <row r="69" spans="1:15" s="75" customFormat="1" ht="39.75" customHeight="1" thickBot="1">
      <c r="A69" s="70" t="s">
        <v>433</v>
      </c>
      <c r="B69" s="74"/>
      <c r="C69" s="71"/>
      <c r="D69" s="4"/>
      <c r="E69" s="72"/>
      <c r="F69" s="4"/>
      <c r="G69" s="4"/>
      <c r="H69" s="4"/>
      <c r="I69" s="4"/>
      <c r="J69" s="4"/>
      <c r="K69" s="4"/>
      <c r="L69" s="73" t="s">
        <v>41</v>
      </c>
      <c r="M69" s="67"/>
      <c r="N69" s="74"/>
      <c r="O69" s="111"/>
    </row>
    <row r="70" spans="1:15" s="75" customFormat="1" ht="61.5" customHeight="1" thickBot="1">
      <c r="A70" s="185" t="s">
        <v>259</v>
      </c>
      <c r="B70" s="186" t="s">
        <v>260</v>
      </c>
      <c r="C70" s="187" t="s">
        <v>261</v>
      </c>
      <c r="D70" s="186" t="s">
        <v>262</v>
      </c>
      <c r="E70" s="188" t="s">
        <v>263</v>
      </c>
      <c r="F70" s="189" t="s">
        <v>264</v>
      </c>
      <c r="G70" s="189" t="s">
        <v>265</v>
      </c>
      <c r="H70" s="189" t="s">
        <v>266</v>
      </c>
      <c r="I70" s="86" t="s">
        <v>24</v>
      </c>
      <c r="J70" s="87" t="s">
        <v>577</v>
      </c>
      <c r="K70" s="190" t="s">
        <v>26</v>
      </c>
      <c r="L70" s="189" t="s">
        <v>27</v>
      </c>
      <c r="M70" s="189" t="s">
        <v>28</v>
      </c>
      <c r="N70" s="191" t="s">
        <v>267</v>
      </c>
      <c r="O70" s="112"/>
    </row>
    <row r="71" spans="1:15" s="75" customFormat="1" ht="45" customHeight="1">
      <c r="A71" s="284">
        <v>1</v>
      </c>
      <c r="B71" s="366" t="s">
        <v>541</v>
      </c>
      <c r="C71" s="195" t="s">
        <v>269</v>
      </c>
      <c r="D71" s="89">
        <v>1</v>
      </c>
      <c r="E71" s="89">
        <f>D71</f>
        <v>1</v>
      </c>
      <c r="F71" s="89">
        <v>0</v>
      </c>
      <c r="G71" s="89">
        <f>E71-F71</f>
        <v>1</v>
      </c>
      <c r="H71" s="90">
        <f>SUM(J71:N71)</f>
        <v>1</v>
      </c>
      <c r="I71" s="91"/>
      <c r="J71" s="91">
        <v>1</v>
      </c>
      <c r="K71" s="91"/>
      <c r="L71" s="283"/>
      <c r="M71" s="91"/>
      <c r="N71" s="91"/>
      <c r="O71" s="246" t="s">
        <v>453</v>
      </c>
    </row>
    <row r="72" spans="1:15" s="75" customFormat="1" ht="45" customHeight="1">
      <c r="A72" s="284">
        <v>2</v>
      </c>
      <c r="B72" s="366" t="s">
        <v>542</v>
      </c>
      <c r="C72" s="195" t="s">
        <v>269</v>
      </c>
      <c r="D72" s="89">
        <v>1</v>
      </c>
      <c r="E72" s="89">
        <f>D72</f>
        <v>1</v>
      </c>
      <c r="F72" s="89">
        <v>0</v>
      </c>
      <c r="G72" s="89">
        <f>E72-F72</f>
        <v>1</v>
      </c>
      <c r="H72" s="90">
        <f>SUM(J72:N72)</f>
        <v>1</v>
      </c>
      <c r="I72" s="91"/>
      <c r="J72" s="91">
        <v>1</v>
      </c>
      <c r="K72" s="91"/>
      <c r="L72" s="283"/>
      <c r="M72" s="91"/>
      <c r="N72" s="91"/>
      <c r="O72" s="246" t="s">
        <v>453</v>
      </c>
    </row>
    <row r="73" spans="1:15" s="75" customFormat="1" ht="45" customHeight="1">
      <c r="A73" s="284">
        <v>3</v>
      </c>
      <c r="B73" s="366" t="s">
        <v>584</v>
      </c>
      <c r="C73" s="195" t="s">
        <v>269</v>
      </c>
      <c r="D73" s="89">
        <v>1</v>
      </c>
      <c r="E73" s="89">
        <f>D73</f>
        <v>1</v>
      </c>
      <c r="F73" s="89">
        <v>0</v>
      </c>
      <c r="G73" s="89">
        <f>E73-F73</f>
        <v>1</v>
      </c>
      <c r="H73" s="90">
        <f>SUM(J73:N73)</f>
        <v>1</v>
      </c>
      <c r="I73" s="91"/>
      <c r="J73" s="91">
        <v>1</v>
      </c>
      <c r="K73" s="91"/>
      <c r="L73" s="283"/>
      <c r="M73" s="91"/>
      <c r="N73" s="91"/>
      <c r="O73" s="246" t="s">
        <v>453</v>
      </c>
    </row>
    <row r="74" spans="1:15" s="75" customFormat="1" ht="22.5" customHeight="1">
      <c r="A74" s="276"/>
      <c r="B74" s="119"/>
      <c r="C74" s="123" t="s">
        <v>304</v>
      </c>
      <c r="D74" s="97">
        <f t="shared" ref="D74:N74" si="10">SUM(D71:D73)</f>
        <v>3</v>
      </c>
      <c r="E74" s="97">
        <f t="shared" si="10"/>
        <v>3</v>
      </c>
      <c r="F74" s="97">
        <f t="shared" si="10"/>
        <v>0</v>
      </c>
      <c r="G74" s="97">
        <f t="shared" si="10"/>
        <v>3</v>
      </c>
      <c r="H74" s="97">
        <f t="shared" si="10"/>
        <v>3</v>
      </c>
      <c r="I74" s="97">
        <f t="shared" si="10"/>
        <v>0</v>
      </c>
      <c r="J74" s="97">
        <f t="shared" si="10"/>
        <v>3</v>
      </c>
      <c r="K74" s="97">
        <f t="shared" si="10"/>
        <v>0</v>
      </c>
      <c r="L74" s="97">
        <f t="shared" si="10"/>
        <v>0</v>
      </c>
      <c r="M74" s="97">
        <f t="shared" si="10"/>
        <v>0</v>
      </c>
      <c r="N74" s="97">
        <f t="shared" si="10"/>
        <v>0</v>
      </c>
      <c r="O74" s="104"/>
    </row>
    <row r="75" spans="1:15" s="75" customFormat="1" ht="18.75" customHeight="1">
      <c r="A75" s="276"/>
      <c r="B75" s="119"/>
      <c r="C75" s="92"/>
      <c r="D75" s="104"/>
      <c r="E75" s="104"/>
      <c r="F75" s="104"/>
      <c r="G75" s="104"/>
      <c r="H75" s="104"/>
      <c r="I75" s="104"/>
      <c r="J75" s="104"/>
      <c r="K75" s="104"/>
      <c r="L75" s="104"/>
      <c r="M75" s="104"/>
      <c r="N75" s="104"/>
      <c r="O75" s="104"/>
    </row>
    <row r="76" spans="1:15" s="75" customFormat="1" ht="36.75" hidden="1" customHeight="1" thickBot="1">
      <c r="A76" s="256" t="s">
        <v>545</v>
      </c>
      <c r="B76" s="92"/>
      <c r="C76" s="78"/>
      <c r="D76" s="9"/>
      <c r="E76" s="9"/>
      <c r="F76" s="9"/>
      <c r="G76" s="9"/>
      <c r="H76" s="9"/>
      <c r="I76" s="9"/>
      <c r="J76" s="9"/>
      <c r="K76" s="9"/>
      <c r="L76" s="9"/>
      <c r="M76" s="9"/>
      <c r="N76" s="85" t="s">
        <v>41</v>
      </c>
      <c r="O76" s="94"/>
    </row>
    <row r="77" spans="1:15" s="75" customFormat="1" ht="51.75" hidden="1" customHeight="1" thickBot="1">
      <c r="A77" s="185" t="s">
        <v>259</v>
      </c>
      <c r="B77" s="186" t="s">
        <v>260</v>
      </c>
      <c r="C77" s="187" t="s">
        <v>261</v>
      </c>
      <c r="D77" s="186" t="s">
        <v>262</v>
      </c>
      <c r="E77" s="188" t="s">
        <v>263</v>
      </c>
      <c r="F77" s="189" t="s">
        <v>264</v>
      </c>
      <c r="G77" s="189" t="s">
        <v>265</v>
      </c>
      <c r="H77" s="189" t="s">
        <v>266</v>
      </c>
      <c r="I77" s="86" t="s">
        <v>24</v>
      </c>
      <c r="J77" s="87" t="s">
        <v>577</v>
      </c>
      <c r="K77" s="190" t="s">
        <v>26</v>
      </c>
      <c r="L77" s="189" t="s">
        <v>27</v>
      </c>
      <c r="M77" s="189" t="s">
        <v>28</v>
      </c>
      <c r="N77" s="191" t="s">
        <v>267</v>
      </c>
      <c r="O77" s="84"/>
    </row>
    <row r="78" spans="1:15" s="75" customFormat="1" ht="16.5" hidden="1" customHeight="1">
      <c r="A78" s="88"/>
      <c r="B78" s="132"/>
      <c r="C78" s="195"/>
      <c r="D78" s="89">
        <v>0</v>
      </c>
      <c r="E78" s="89">
        <f>D78</f>
        <v>0</v>
      </c>
      <c r="F78" s="89">
        <v>0</v>
      </c>
      <c r="G78" s="89">
        <f>E78-F78</f>
        <v>0</v>
      </c>
      <c r="H78" s="90">
        <f>SUM(I78:N78)</f>
        <v>0</v>
      </c>
      <c r="I78" s="91"/>
      <c r="J78" s="91"/>
      <c r="K78" s="257"/>
      <c r="L78" s="258"/>
      <c r="M78" s="259">
        <v>0</v>
      </c>
      <c r="N78" s="257"/>
      <c r="O78" s="166" t="s">
        <v>546</v>
      </c>
    </row>
    <row r="79" spans="1:15" s="75" customFormat="1" ht="16.5" hidden="1" customHeight="1">
      <c r="A79" s="78"/>
      <c r="B79" s="92"/>
      <c r="C79" s="78" t="s">
        <v>304</v>
      </c>
      <c r="D79" s="93">
        <f t="shared" ref="D79:N79" si="11">SUM(D78:D78)</f>
        <v>0</v>
      </c>
      <c r="E79" s="93">
        <f t="shared" si="11"/>
        <v>0</v>
      </c>
      <c r="F79" s="93">
        <f t="shared" si="11"/>
        <v>0</v>
      </c>
      <c r="G79" s="93">
        <f t="shared" si="11"/>
        <v>0</v>
      </c>
      <c r="H79" s="93">
        <f t="shared" si="11"/>
        <v>0</v>
      </c>
      <c r="I79" s="93">
        <f t="shared" si="11"/>
        <v>0</v>
      </c>
      <c r="J79" s="93">
        <f t="shared" si="11"/>
        <v>0</v>
      </c>
      <c r="K79" s="93">
        <f t="shared" si="11"/>
        <v>0</v>
      </c>
      <c r="L79" s="93">
        <f t="shared" si="11"/>
        <v>0</v>
      </c>
      <c r="M79" s="93">
        <f t="shared" si="11"/>
        <v>0</v>
      </c>
      <c r="N79" s="93">
        <f t="shared" si="11"/>
        <v>0</v>
      </c>
      <c r="O79" s="94"/>
    </row>
    <row r="80" spans="1:15" s="75" customFormat="1" ht="19.5" customHeight="1">
      <c r="A80" s="276"/>
      <c r="B80" s="285"/>
      <c r="C80" s="286"/>
      <c r="D80" s="287"/>
      <c r="E80" s="287"/>
      <c r="F80" s="287"/>
      <c r="G80" s="287"/>
      <c r="H80" s="287"/>
      <c r="I80" s="287"/>
      <c r="J80" s="287"/>
      <c r="K80" s="287"/>
      <c r="L80" s="287"/>
      <c r="M80" s="287"/>
      <c r="N80" s="287"/>
      <c r="O80" s="104"/>
    </row>
    <row r="81" spans="1:15" s="75" customFormat="1" ht="12" customHeight="1">
      <c r="A81" s="99"/>
      <c r="B81" s="289"/>
      <c r="C81" s="286"/>
      <c r="D81" s="290"/>
      <c r="E81" s="290"/>
      <c r="F81" s="290"/>
      <c r="G81" s="290"/>
      <c r="H81" s="290"/>
      <c r="I81" s="290"/>
      <c r="J81" s="290"/>
      <c r="K81" s="291"/>
      <c r="L81" s="290"/>
      <c r="M81" s="290"/>
      <c r="N81" s="290"/>
      <c r="O81" s="104"/>
    </row>
    <row r="82" spans="1:15" ht="15.75">
      <c r="A82" s="99"/>
      <c r="B82" s="292" t="s">
        <v>547</v>
      </c>
      <c r="C82" s="290"/>
      <c r="D82" s="290"/>
      <c r="E82" s="293" t="s">
        <v>244</v>
      </c>
      <c r="F82" s="290"/>
      <c r="G82" s="290"/>
      <c r="H82" s="290"/>
      <c r="I82" s="290"/>
      <c r="J82" s="290" t="s">
        <v>245</v>
      </c>
      <c r="K82" s="294"/>
      <c r="L82" s="290"/>
      <c r="M82" s="290"/>
      <c r="N82" s="290"/>
    </row>
    <row r="83" spans="1:15" s="131" customFormat="1" ht="15.75">
      <c r="A83" s="43"/>
      <c r="B83" s="292" t="s">
        <v>246</v>
      </c>
      <c r="C83" s="297"/>
      <c r="D83" s="298"/>
      <c r="E83" s="299"/>
      <c r="F83" s="298"/>
      <c r="G83" s="298"/>
      <c r="H83" s="291"/>
      <c r="I83" s="298"/>
      <c r="J83" s="291"/>
      <c r="K83" s="298"/>
      <c r="L83" s="297" t="s">
        <v>247</v>
      </c>
      <c r="M83" s="298"/>
      <c r="N83" s="300"/>
      <c r="O83" s="6"/>
    </row>
    <row r="84" spans="1:15" s="131" customFormat="1" ht="15.75">
      <c r="A84" s="12"/>
      <c r="B84" s="302" t="s">
        <v>249</v>
      </c>
      <c r="C84" s="302"/>
      <c r="D84" s="290"/>
      <c r="E84" s="298"/>
      <c r="F84" s="299"/>
      <c r="G84" s="303" t="s">
        <v>248</v>
      </c>
      <c r="H84" s="286"/>
      <c r="I84" s="291"/>
      <c r="J84" s="291"/>
      <c r="K84" s="299"/>
      <c r="L84" s="299"/>
      <c r="M84" s="299"/>
      <c r="N84" s="300"/>
      <c r="O84" s="6"/>
    </row>
    <row r="85" spans="1:15" s="131" customFormat="1" ht="15.75">
      <c r="A85" s="12"/>
      <c r="B85" s="302" t="s">
        <v>252</v>
      </c>
      <c r="C85" s="302"/>
      <c r="D85" s="290"/>
      <c r="E85" s="290"/>
      <c r="F85" s="297"/>
      <c r="G85" s="303" t="s">
        <v>250</v>
      </c>
      <c r="H85" s="302"/>
      <c r="I85" s="291"/>
      <c r="J85" s="291"/>
      <c r="K85" s="299"/>
      <c r="L85" s="302" t="s">
        <v>251</v>
      </c>
      <c r="M85" s="290"/>
      <c r="N85" s="300"/>
    </row>
    <row r="86" spans="1:15" ht="15.75">
      <c r="A86" s="240"/>
      <c r="B86" s="302"/>
      <c r="C86" s="299"/>
      <c r="D86" s="299"/>
      <c r="E86" s="306"/>
      <c r="F86" s="299"/>
      <c r="G86" s="307" t="s">
        <v>253</v>
      </c>
      <c r="H86" s="297"/>
      <c r="I86" s="308"/>
      <c r="J86" s="308"/>
      <c r="K86" s="308"/>
      <c r="L86" s="302" t="s">
        <v>254</v>
      </c>
      <c r="M86" s="290"/>
      <c r="N86" s="300"/>
      <c r="O86" s="131"/>
    </row>
    <row r="87" spans="1:15" ht="15.75">
      <c r="A87" s="240"/>
      <c r="B87" s="302"/>
      <c r="C87" s="302"/>
      <c r="D87" s="309"/>
      <c r="E87" s="302"/>
      <c r="F87" s="297"/>
      <c r="G87" s="302"/>
      <c r="H87" s="309"/>
      <c r="I87" s="306"/>
      <c r="J87" s="299"/>
      <c r="K87" s="302"/>
      <c r="L87" s="297"/>
      <c r="M87" s="297"/>
      <c r="N87" s="297"/>
    </row>
    <row r="88" spans="1:15" ht="15">
      <c r="A88" s="145"/>
      <c r="B88" s="145"/>
      <c r="C88" s="145"/>
      <c r="D88" s="145"/>
      <c r="E88" s="145"/>
      <c r="G88" s="145"/>
      <c r="H88" s="145"/>
      <c r="I88" s="145"/>
      <c r="J88" s="145"/>
      <c r="K88" s="146"/>
      <c r="L88" s="20"/>
      <c r="M88" s="129"/>
      <c r="N88" s="22"/>
    </row>
    <row r="89" spans="1:15">
      <c r="A89" s="3"/>
      <c r="B89" s="3"/>
      <c r="C89" s="3"/>
      <c r="D89" s="3"/>
      <c r="E89" s="3"/>
      <c r="F89" s="3"/>
      <c r="G89" s="3"/>
      <c r="H89" s="3"/>
      <c r="I89" s="3"/>
      <c r="K89" s="3"/>
      <c r="L89" s="3"/>
      <c r="M89" s="110"/>
      <c r="N89" s="3"/>
    </row>
    <row r="90" spans="1:15">
      <c r="A90" s="3"/>
      <c r="B90" s="147"/>
      <c r="C90" s="3"/>
      <c r="D90" s="3"/>
      <c r="E90" s="3"/>
      <c r="F90" s="3"/>
      <c r="G90" s="3"/>
      <c r="H90" s="3"/>
      <c r="I90" s="3"/>
      <c r="K90" s="3"/>
      <c r="L90" s="3"/>
      <c r="M90" s="110"/>
      <c r="N90" s="3"/>
    </row>
  </sheetData>
  <mergeCells count="1">
    <mergeCell ref="A9:O9"/>
  </mergeCells>
  <pageMargins left="0.51181102362204722" right="0.59055118110236227" top="0.59055118110236227" bottom="0.78740157480314965" header="0.35433070866141736" footer="0.39370078740157483"/>
  <pageSetup paperSize="9" orientation="landscape" r:id="rId1"/>
  <headerFooter alignWithMargins="0">
    <oddFooter xml:space="preserve">&amp;C&amp;8Pagina &amp;P din &amp;N&amp;R&amp;8(L1) HCL nr.  din 
Dotări independente ANEXA 3 BIS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62"/>
  <sheetViews>
    <sheetView view="pageBreakPreview" zoomScaleNormal="110" zoomScaleSheetLayoutView="100" workbookViewId="0">
      <selection activeCell="N67" sqref="N67"/>
    </sheetView>
  </sheetViews>
  <sheetFormatPr defaultRowHeight="12.75"/>
  <cols>
    <col min="1" max="1" width="3.7109375" style="3" customWidth="1"/>
    <col min="2" max="2" width="37.85546875" style="3" customWidth="1"/>
    <col min="3" max="3" width="12.42578125" style="3" customWidth="1"/>
    <col min="4" max="4" width="8" style="3" customWidth="1"/>
    <col min="5" max="5" width="8.42578125" style="3" customWidth="1"/>
    <col min="6" max="6" width="9.42578125" style="3" customWidth="1"/>
    <col min="7" max="7" width="8" style="3" customWidth="1"/>
    <col min="8" max="8" width="8.28515625" style="3" customWidth="1"/>
    <col min="9" max="9" width="6.85546875" style="3" customWidth="1"/>
    <col min="10" max="10" width="7.7109375" style="3" customWidth="1"/>
    <col min="11" max="11" width="6.85546875" style="3" customWidth="1"/>
    <col min="12" max="12" width="7.140625" style="3" customWidth="1"/>
    <col min="13" max="13" width="7.140625" style="110" customWidth="1"/>
    <col min="14" max="14" width="5.140625" style="3" customWidth="1"/>
    <col min="15" max="15" width="5.7109375" style="111" customWidth="1"/>
    <col min="16" max="16384" width="9.140625" style="3"/>
  </cols>
  <sheetData>
    <row r="1" spans="1:15" ht="10.5" customHeight="1">
      <c r="A1" s="65"/>
      <c r="B1" s="66"/>
      <c r="F1" s="248" t="s">
        <v>3</v>
      </c>
      <c r="G1" s="248"/>
      <c r="H1" s="248"/>
      <c r="I1" s="248"/>
      <c r="J1" s="248" t="s">
        <v>5</v>
      </c>
      <c r="K1" s="268"/>
      <c r="L1" s="252"/>
      <c r="N1" s="3" t="s">
        <v>255</v>
      </c>
    </row>
    <row r="2" spans="1:15" ht="21.75" customHeight="1">
      <c r="A2" s="65"/>
      <c r="B2" s="66"/>
      <c r="E2" s="6"/>
      <c r="F2" s="248" t="s">
        <v>7</v>
      </c>
      <c r="G2" s="75"/>
      <c r="H2" s="248"/>
      <c r="I2" s="248"/>
      <c r="J2" s="248" t="s">
        <v>8</v>
      </c>
      <c r="L2" s="248"/>
    </row>
    <row r="3" spans="1:15" ht="11.25" customHeight="1">
      <c r="A3" s="65"/>
      <c r="B3" s="66"/>
      <c r="E3" s="1"/>
      <c r="F3" s="248" t="s">
        <v>10</v>
      </c>
      <c r="G3" s="129"/>
      <c r="H3" s="129"/>
      <c r="I3" s="20"/>
      <c r="J3" s="248" t="s">
        <v>11</v>
      </c>
      <c r="L3" s="248"/>
    </row>
    <row r="4" spans="1:15" ht="11.25" customHeight="1">
      <c r="A4" s="65"/>
      <c r="B4" s="251" t="s">
        <v>548</v>
      </c>
      <c r="E4" s="6"/>
      <c r="F4" s="68" t="s">
        <v>13</v>
      </c>
      <c r="G4" s="6"/>
      <c r="H4" s="129"/>
      <c r="I4" s="20"/>
      <c r="J4" s="248"/>
      <c r="L4" s="248"/>
    </row>
    <row r="5" spans="1:15" ht="11.25" customHeight="1">
      <c r="A5" s="65"/>
      <c r="B5" s="251"/>
      <c r="F5" s="248"/>
      <c r="G5" s="129"/>
      <c r="H5" s="129"/>
      <c r="I5" s="20"/>
      <c r="J5" s="248"/>
      <c r="L5" s="248"/>
    </row>
    <row r="6" spans="1:15" ht="11.25" customHeight="1">
      <c r="A6" s="65"/>
      <c r="B6" s="251"/>
      <c r="F6" s="248"/>
      <c r="G6" s="129"/>
      <c r="H6" s="129"/>
      <c r="I6" s="20"/>
      <c r="J6" s="248"/>
      <c r="L6" s="248"/>
    </row>
    <row r="7" spans="1:15" ht="15" customHeight="1">
      <c r="A7" s="65"/>
      <c r="B7" s="66" t="s">
        <v>549</v>
      </c>
      <c r="G7" s="129"/>
      <c r="H7" s="6"/>
    </row>
    <row r="8" spans="1:15" ht="18.75" customHeight="1">
      <c r="A8" s="387" t="s">
        <v>550</v>
      </c>
      <c r="B8" s="386"/>
      <c r="C8" s="386"/>
      <c r="D8" s="386"/>
      <c r="E8" s="386"/>
      <c r="F8" s="386"/>
      <c r="G8" s="386"/>
      <c r="H8" s="386"/>
      <c r="I8" s="386"/>
      <c r="J8" s="386"/>
      <c r="K8" s="386"/>
      <c r="L8" s="386"/>
      <c r="M8" s="390"/>
      <c r="N8" s="390"/>
    </row>
    <row r="9" spans="1:15" s="74" customFormat="1" ht="29.25" hidden="1" customHeight="1" thickBot="1">
      <c r="A9" s="70" t="s">
        <v>258</v>
      </c>
      <c r="B9" s="4"/>
      <c r="C9" s="71"/>
      <c r="D9" s="4"/>
      <c r="E9" s="72"/>
      <c r="F9" s="4"/>
      <c r="G9" s="4"/>
      <c r="H9" s="4"/>
      <c r="I9" s="4"/>
      <c r="J9" s="4"/>
      <c r="K9" s="4"/>
      <c r="L9" s="73" t="s">
        <v>41</v>
      </c>
      <c r="M9" s="67"/>
      <c r="O9" s="111"/>
    </row>
    <row r="10" spans="1:15" s="6" customFormat="1" ht="54.75" hidden="1" customHeight="1" thickBot="1">
      <c r="A10" s="185" t="s">
        <v>259</v>
      </c>
      <c r="B10" s="186" t="s">
        <v>260</v>
      </c>
      <c r="C10" s="187" t="s">
        <v>261</v>
      </c>
      <c r="D10" s="186" t="s">
        <v>262</v>
      </c>
      <c r="E10" s="188" t="s">
        <v>263</v>
      </c>
      <c r="F10" s="189" t="s">
        <v>551</v>
      </c>
      <c r="G10" s="189" t="s">
        <v>265</v>
      </c>
      <c r="H10" s="189" t="s">
        <v>552</v>
      </c>
      <c r="I10" s="86" t="s">
        <v>553</v>
      </c>
      <c r="J10" s="87" t="s">
        <v>25</v>
      </c>
      <c r="K10" s="190" t="s">
        <v>554</v>
      </c>
      <c r="L10" s="189" t="s">
        <v>27</v>
      </c>
      <c r="M10" s="189" t="s">
        <v>28</v>
      </c>
      <c r="N10" s="191" t="s">
        <v>267</v>
      </c>
      <c r="O10" s="112"/>
    </row>
    <row r="11" spans="1:15" s="75" customFormat="1" ht="18.75" hidden="1" customHeight="1">
      <c r="A11" s="124">
        <v>1</v>
      </c>
      <c r="B11" s="149"/>
      <c r="C11" s="150"/>
      <c r="D11" s="120">
        <v>0</v>
      </c>
      <c r="E11" s="120">
        <f>D11</f>
        <v>0</v>
      </c>
      <c r="F11" s="120">
        <v>0</v>
      </c>
      <c r="G11" s="121">
        <f>E11-F11</f>
        <v>0</v>
      </c>
      <c r="H11" s="122">
        <f>SUM(I11:N11)</f>
        <v>0</v>
      </c>
      <c r="I11" s="120"/>
      <c r="J11" s="120"/>
      <c r="K11" s="120"/>
      <c r="L11" s="120"/>
      <c r="M11" s="120">
        <v>0</v>
      </c>
      <c r="N11" s="120"/>
      <c r="O11" s="117" t="s">
        <v>270</v>
      </c>
    </row>
    <row r="12" spans="1:15" ht="18.75" hidden="1" customHeight="1">
      <c r="A12" s="276"/>
      <c r="C12" s="151" t="s">
        <v>304</v>
      </c>
      <c r="D12" s="152">
        <f t="shared" ref="D12:N12" si="0">SUM(D11:D11)</f>
        <v>0</v>
      </c>
      <c r="E12" s="152">
        <f t="shared" si="0"/>
        <v>0</v>
      </c>
      <c r="F12" s="152">
        <f t="shared" si="0"/>
        <v>0</v>
      </c>
      <c r="G12" s="152">
        <f t="shared" si="0"/>
        <v>0</v>
      </c>
      <c r="H12" s="152">
        <f t="shared" si="0"/>
        <v>0</v>
      </c>
      <c r="I12" s="152">
        <f t="shared" si="0"/>
        <v>0</v>
      </c>
      <c r="J12" s="152">
        <f t="shared" si="0"/>
        <v>0</v>
      </c>
      <c r="K12" s="152">
        <f t="shared" si="0"/>
        <v>0</v>
      </c>
      <c r="L12" s="152">
        <f t="shared" si="0"/>
        <v>0</v>
      </c>
      <c r="M12" s="152">
        <f t="shared" si="0"/>
        <v>0</v>
      </c>
      <c r="N12" s="152">
        <f t="shared" si="0"/>
        <v>0</v>
      </c>
    </row>
    <row r="13" spans="1:15" ht="20.25" hidden="1" customHeight="1">
      <c r="A13" s="276"/>
      <c r="C13" s="92"/>
      <c r="D13" s="104"/>
      <c r="E13" s="104"/>
      <c r="F13" s="104"/>
      <c r="G13" s="104"/>
      <c r="H13" s="104"/>
      <c r="I13" s="104"/>
      <c r="J13" s="104"/>
      <c r="K13" s="104"/>
      <c r="L13" s="104"/>
      <c r="M13" s="104"/>
      <c r="N13" s="104"/>
    </row>
    <row r="14" spans="1:15" ht="20.25" hidden="1" customHeight="1" thickBot="1">
      <c r="A14" s="70" t="s">
        <v>555</v>
      </c>
      <c r="B14" s="4"/>
      <c r="C14" s="71"/>
      <c r="D14" s="4"/>
      <c r="E14" s="72"/>
      <c r="F14" s="4"/>
      <c r="G14" s="4"/>
      <c r="H14" s="4"/>
      <c r="I14" s="4"/>
      <c r="J14" s="4"/>
      <c r="K14" s="4"/>
      <c r="L14" s="73" t="s">
        <v>41</v>
      </c>
      <c r="M14" s="67"/>
      <c r="N14" s="74"/>
    </row>
    <row r="15" spans="1:15" ht="50.25" hidden="1" customHeight="1" thickBot="1">
      <c r="A15" s="185" t="s">
        <v>259</v>
      </c>
      <c r="B15" s="186" t="s">
        <v>260</v>
      </c>
      <c r="C15" s="187" t="s">
        <v>261</v>
      </c>
      <c r="D15" s="186" t="s">
        <v>262</v>
      </c>
      <c r="E15" s="188" t="s">
        <v>263</v>
      </c>
      <c r="F15" s="189" t="s">
        <v>551</v>
      </c>
      <c r="G15" s="189" t="s">
        <v>265</v>
      </c>
      <c r="H15" s="189" t="s">
        <v>552</v>
      </c>
      <c r="I15" s="86" t="s">
        <v>553</v>
      </c>
      <c r="J15" s="87" t="s">
        <v>25</v>
      </c>
      <c r="K15" s="190" t="s">
        <v>554</v>
      </c>
      <c r="L15" s="189" t="s">
        <v>27</v>
      </c>
      <c r="M15" s="189" t="s">
        <v>28</v>
      </c>
      <c r="N15" s="191" t="s">
        <v>267</v>
      </c>
      <c r="O15" s="112"/>
    </row>
    <row r="16" spans="1:15" ht="17.25" hidden="1" customHeight="1">
      <c r="A16" s="124">
        <v>1</v>
      </c>
      <c r="B16" s="148"/>
      <c r="C16" s="118"/>
      <c r="D16" s="153"/>
      <c r="E16" s="153"/>
      <c r="F16" s="153"/>
      <c r="G16" s="154"/>
      <c r="H16" s="95"/>
      <c r="I16" s="153"/>
      <c r="J16" s="153"/>
      <c r="K16" s="153"/>
      <c r="L16" s="153"/>
      <c r="M16" s="153"/>
      <c r="N16" s="153"/>
      <c r="O16" s="117" t="s">
        <v>270</v>
      </c>
    </row>
    <row r="17" spans="1:15" ht="17.25" hidden="1" customHeight="1">
      <c r="A17" s="276"/>
      <c r="C17" s="123" t="s">
        <v>304</v>
      </c>
      <c r="D17" s="97">
        <f>SUM(D16)</f>
        <v>0</v>
      </c>
      <c r="E17" s="97">
        <f t="shared" ref="E17:N17" si="1">SUM(E16)</f>
        <v>0</v>
      </c>
      <c r="F17" s="97">
        <f t="shared" si="1"/>
        <v>0</v>
      </c>
      <c r="G17" s="97">
        <f t="shared" si="1"/>
        <v>0</v>
      </c>
      <c r="H17" s="97">
        <f t="shared" si="1"/>
        <v>0</v>
      </c>
      <c r="I17" s="97">
        <f t="shared" si="1"/>
        <v>0</v>
      </c>
      <c r="J17" s="97">
        <f t="shared" si="1"/>
        <v>0</v>
      </c>
      <c r="K17" s="97">
        <f t="shared" si="1"/>
        <v>0</v>
      </c>
      <c r="L17" s="97">
        <f t="shared" si="1"/>
        <v>0</v>
      </c>
      <c r="M17" s="97">
        <f t="shared" si="1"/>
        <v>0</v>
      </c>
      <c r="N17" s="97">
        <f t="shared" si="1"/>
        <v>0</v>
      </c>
    </row>
    <row r="18" spans="1:15" ht="17.25" hidden="1" customHeight="1">
      <c r="A18" s="276"/>
      <c r="C18" s="92"/>
      <c r="D18" s="104"/>
      <c r="E18" s="104"/>
      <c r="F18" s="104"/>
      <c r="G18" s="104"/>
      <c r="H18" s="104"/>
      <c r="I18" s="104"/>
      <c r="J18" s="104"/>
      <c r="K18" s="104"/>
      <c r="L18" s="104"/>
      <c r="M18" s="104"/>
      <c r="N18" s="104"/>
    </row>
    <row r="19" spans="1:15" s="74" customFormat="1" ht="22.5" hidden="1" customHeight="1" thickBot="1">
      <c r="A19" s="70" t="s">
        <v>308</v>
      </c>
      <c r="B19" s="4"/>
      <c r="C19" s="71"/>
      <c r="D19" s="4"/>
      <c r="E19" s="72"/>
      <c r="F19" s="4"/>
      <c r="G19" s="4"/>
      <c r="H19" s="4"/>
      <c r="I19" s="4"/>
      <c r="J19" s="69"/>
      <c r="L19" s="110"/>
      <c r="N19" s="102" t="s">
        <v>41</v>
      </c>
      <c r="O19" s="111"/>
    </row>
    <row r="20" spans="1:15" s="6" customFormat="1" ht="46.5" hidden="1" customHeight="1" thickBot="1">
      <c r="A20" s="185" t="s">
        <v>259</v>
      </c>
      <c r="B20" s="186" t="s">
        <v>260</v>
      </c>
      <c r="C20" s="187" t="s">
        <v>261</v>
      </c>
      <c r="D20" s="186" t="s">
        <v>262</v>
      </c>
      <c r="E20" s="188" t="s">
        <v>263</v>
      </c>
      <c r="F20" s="189" t="s">
        <v>264</v>
      </c>
      <c r="G20" s="189" t="s">
        <v>265</v>
      </c>
      <c r="H20" s="189" t="s">
        <v>266</v>
      </c>
      <c r="I20" s="86" t="s">
        <v>24</v>
      </c>
      <c r="J20" s="87" t="s">
        <v>577</v>
      </c>
      <c r="K20" s="190" t="s">
        <v>26</v>
      </c>
      <c r="L20" s="189" t="s">
        <v>27</v>
      </c>
      <c r="M20" s="189" t="s">
        <v>28</v>
      </c>
      <c r="N20" s="191" t="s">
        <v>267</v>
      </c>
      <c r="O20" s="112"/>
    </row>
    <row r="21" spans="1:15" s="6" customFormat="1" ht="20.25" hidden="1" customHeight="1">
      <c r="A21" s="220">
        <v>1</v>
      </c>
      <c r="B21" s="226"/>
      <c r="C21" s="227"/>
      <c r="D21" s="232">
        <v>0</v>
      </c>
      <c r="E21" s="232">
        <f>D21</f>
        <v>0</v>
      </c>
      <c r="F21" s="232">
        <v>0</v>
      </c>
      <c r="G21" s="233">
        <f>E21-F21</f>
        <v>0</v>
      </c>
      <c r="H21" s="165">
        <f>SUM(I21:O21)</f>
        <v>0</v>
      </c>
      <c r="I21" s="232"/>
      <c r="J21" s="232"/>
      <c r="K21" s="232"/>
      <c r="L21" s="232"/>
      <c r="M21" s="163">
        <v>0</v>
      </c>
      <c r="N21" s="232">
        <v>0</v>
      </c>
      <c r="O21" s="221" t="s">
        <v>45</v>
      </c>
    </row>
    <row r="22" spans="1:15" ht="20.25" hidden="1" customHeight="1">
      <c r="A22" s="276"/>
      <c r="C22" s="123" t="s">
        <v>304</v>
      </c>
      <c r="D22" s="97">
        <v>0</v>
      </c>
      <c r="E22" s="97">
        <v>0</v>
      </c>
      <c r="F22" s="97">
        <v>0</v>
      </c>
      <c r="G22" s="97">
        <v>0</v>
      </c>
      <c r="H22" s="97">
        <v>0</v>
      </c>
      <c r="I22" s="97">
        <f>SUM(I21:I21)</f>
        <v>0</v>
      </c>
      <c r="J22" s="97">
        <f>SUM(J21:J21)</f>
        <v>0</v>
      </c>
      <c r="K22" s="97">
        <f>SUM(K21:K21)</f>
        <v>0</v>
      </c>
      <c r="L22" s="97">
        <f>SUM(L21:L21)</f>
        <v>0</v>
      </c>
      <c r="M22" s="97">
        <v>0</v>
      </c>
      <c r="N22" s="97">
        <v>0</v>
      </c>
    </row>
    <row r="23" spans="1:15" ht="17.25" hidden="1" customHeight="1">
      <c r="A23" s="276"/>
      <c r="C23" s="92"/>
      <c r="D23" s="104"/>
      <c r="E23" s="104"/>
      <c r="F23" s="104"/>
      <c r="G23" s="104"/>
      <c r="H23" s="104"/>
      <c r="I23" s="104"/>
      <c r="J23" s="104"/>
      <c r="K23" s="104"/>
      <c r="L23" s="104"/>
      <c r="M23" s="104"/>
      <c r="N23" s="104"/>
    </row>
    <row r="24" spans="1:15" s="74" customFormat="1" ht="24" hidden="1" customHeight="1" thickBot="1">
      <c r="A24" s="57" t="s">
        <v>559</v>
      </c>
      <c r="C24" s="9"/>
      <c r="D24" s="4"/>
      <c r="E24" s="72"/>
      <c r="F24" s="4"/>
      <c r="G24" s="4"/>
      <c r="H24" s="4"/>
      <c r="I24" s="4"/>
      <c r="J24" s="69"/>
      <c r="K24" s="73"/>
      <c r="L24" s="110"/>
      <c r="N24" s="102" t="s">
        <v>41</v>
      </c>
      <c r="O24" s="111"/>
    </row>
    <row r="25" spans="1:15" s="6" customFormat="1" ht="48.75" hidden="1" customHeight="1" thickBot="1">
      <c r="A25" s="185" t="s">
        <v>259</v>
      </c>
      <c r="B25" s="186" t="s">
        <v>260</v>
      </c>
      <c r="C25" s="187" t="s">
        <v>261</v>
      </c>
      <c r="D25" s="186" t="s">
        <v>262</v>
      </c>
      <c r="E25" s="188" t="s">
        <v>263</v>
      </c>
      <c r="F25" s="189" t="s">
        <v>264</v>
      </c>
      <c r="G25" s="189" t="s">
        <v>265</v>
      </c>
      <c r="H25" s="189" t="s">
        <v>266</v>
      </c>
      <c r="I25" s="86" t="s">
        <v>24</v>
      </c>
      <c r="J25" s="87" t="s">
        <v>577</v>
      </c>
      <c r="K25" s="190" t="s">
        <v>26</v>
      </c>
      <c r="L25" s="189" t="s">
        <v>27</v>
      </c>
      <c r="M25" s="189" t="s">
        <v>28</v>
      </c>
      <c r="N25" s="191" t="s">
        <v>267</v>
      </c>
      <c r="O25" s="112"/>
    </row>
    <row r="26" spans="1:15" s="6" customFormat="1" ht="18" hidden="1" customHeight="1">
      <c r="A26" s="225">
        <v>1</v>
      </c>
      <c r="B26" s="226"/>
      <c r="C26" s="227"/>
      <c r="D26" s="228">
        <v>0</v>
      </c>
      <c r="E26" s="228">
        <f>D26</f>
        <v>0</v>
      </c>
      <c r="F26" s="228">
        <v>0</v>
      </c>
      <c r="G26" s="229">
        <f>E26-F26</f>
        <v>0</v>
      </c>
      <c r="H26" s="95">
        <f>SUM(I26:N26)</f>
        <v>0</v>
      </c>
      <c r="I26" s="228"/>
      <c r="J26" s="228"/>
      <c r="K26" s="228"/>
      <c r="L26" s="228"/>
      <c r="M26" s="278">
        <v>0</v>
      </c>
      <c r="N26" s="250"/>
      <c r="O26" s="221" t="s">
        <v>45</v>
      </c>
    </row>
    <row r="27" spans="1:15" ht="18" hidden="1" customHeight="1">
      <c r="A27" s="276"/>
      <c r="C27" s="113" t="s">
        <v>304</v>
      </c>
      <c r="D27" s="184">
        <v>0</v>
      </c>
      <c r="E27" s="184">
        <v>0</v>
      </c>
      <c r="F27" s="184">
        <f>SUM(F26:F26)</f>
        <v>0</v>
      </c>
      <c r="G27" s="184">
        <v>0</v>
      </c>
      <c r="H27" s="184">
        <v>0</v>
      </c>
      <c r="I27" s="184">
        <f>SUM(I26:I26)</f>
        <v>0</v>
      </c>
      <c r="J27" s="184">
        <f>SUM(J26:J26)</f>
        <v>0</v>
      </c>
      <c r="K27" s="184">
        <v>0</v>
      </c>
      <c r="L27" s="184">
        <v>0</v>
      </c>
      <c r="M27" s="184">
        <v>0</v>
      </c>
      <c r="N27" s="184">
        <f>SUM(N26:N26)</f>
        <v>0</v>
      </c>
      <c r="O27" s="104"/>
    </row>
    <row r="28" spans="1:15" ht="15.75" hidden="1" customHeight="1">
      <c r="A28" s="276"/>
      <c r="C28" s="92"/>
      <c r="D28" s="104"/>
      <c r="E28" s="104"/>
      <c r="F28" s="104"/>
      <c r="G28" s="104"/>
      <c r="H28" s="104"/>
      <c r="I28" s="104"/>
      <c r="J28" s="104"/>
      <c r="K28" s="104"/>
      <c r="L28" s="104"/>
      <c r="M28" s="104"/>
      <c r="N28" s="104"/>
      <c r="O28" s="104"/>
    </row>
    <row r="29" spans="1:15" ht="21" hidden="1" customHeight="1" thickBot="1">
      <c r="A29" s="70" t="s">
        <v>355</v>
      </c>
      <c r="B29" s="204"/>
      <c r="C29" s="78"/>
      <c r="D29" s="92"/>
      <c r="E29" s="76"/>
      <c r="F29" s="76"/>
      <c r="G29" s="76"/>
      <c r="H29" s="76"/>
      <c r="I29" s="76"/>
      <c r="J29" s="76"/>
      <c r="K29" s="76"/>
      <c r="L29" s="76"/>
      <c r="M29" s="76"/>
      <c r="N29" s="85" t="s">
        <v>41</v>
      </c>
      <c r="O29" s="99"/>
    </row>
    <row r="30" spans="1:15" ht="48.75" hidden="1" thickBot="1">
      <c r="A30" s="185" t="s">
        <v>259</v>
      </c>
      <c r="B30" s="186" t="s">
        <v>260</v>
      </c>
      <c r="C30" s="187" t="s">
        <v>261</v>
      </c>
      <c r="D30" s="186" t="s">
        <v>262</v>
      </c>
      <c r="E30" s="188" t="s">
        <v>263</v>
      </c>
      <c r="F30" s="189" t="s">
        <v>264</v>
      </c>
      <c r="G30" s="189" t="s">
        <v>265</v>
      </c>
      <c r="H30" s="189" t="s">
        <v>266</v>
      </c>
      <c r="I30" s="86" t="s">
        <v>24</v>
      </c>
      <c r="J30" s="87" t="s">
        <v>577</v>
      </c>
      <c r="K30" s="190" t="s">
        <v>26</v>
      </c>
      <c r="L30" s="189" t="s">
        <v>27</v>
      </c>
      <c r="M30" s="189" t="s">
        <v>28</v>
      </c>
      <c r="N30" s="191" t="s">
        <v>267</v>
      </c>
      <c r="O30" s="84"/>
    </row>
    <row r="31" spans="1:15" ht="19.5" hidden="1" customHeight="1">
      <c r="A31" s="230">
        <v>1</v>
      </c>
      <c r="B31" s="226"/>
      <c r="C31" s="227"/>
      <c r="D31" s="223">
        <v>0</v>
      </c>
      <c r="E31" s="218">
        <f>D31</f>
        <v>0</v>
      </c>
      <c r="F31" s="224">
        <v>0</v>
      </c>
      <c r="G31" s="215">
        <f>D31-F31</f>
        <v>0</v>
      </c>
      <c r="H31" s="170">
        <f>SUM(K31:N31)</f>
        <v>0</v>
      </c>
      <c r="I31" s="216"/>
      <c r="J31" s="216"/>
      <c r="K31" s="215">
        <v>0</v>
      </c>
      <c r="L31" s="215"/>
      <c r="M31" s="224">
        <v>0</v>
      </c>
      <c r="N31" s="215"/>
      <c r="O31" s="231" t="s">
        <v>45</v>
      </c>
    </row>
    <row r="32" spans="1:15" ht="19.5" hidden="1" customHeight="1">
      <c r="A32" s="78"/>
      <c r="B32" s="92"/>
      <c r="C32" s="78" t="s">
        <v>304</v>
      </c>
      <c r="D32" s="101">
        <v>0</v>
      </c>
      <c r="E32" s="101">
        <v>0</v>
      </c>
      <c r="F32" s="101">
        <f>SUM(F31:F31)</f>
        <v>0</v>
      </c>
      <c r="G32" s="101">
        <v>0</v>
      </c>
      <c r="H32" s="101">
        <v>0</v>
      </c>
      <c r="I32" s="101">
        <f>SUM(I31:I31)</f>
        <v>0</v>
      </c>
      <c r="J32" s="101">
        <f>SUM(J31:J31)</f>
        <v>0</v>
      </c>
      <c r="K32" s="101">
        <f>SUM(K31:K31)</f>
        <v>0</v>
      </c>
      <c r="L32" s="101">
        <f>SUM(L31:L31)</f>
        <v>0</v>
      </c>
      <c r="M32" s="101">
        <v>0</v>
      </c>
      <c r="N32" s="101">
        <f>SUM(N31:N31)</f>
        <v>0</v>
      </c>
      <c r="O32" s="94"/>
    </row>
    <row r="33" spans="1:19" ht="15" hidden="1" customHeight="1">
      <c r="A33" s="276"/>
      <c r="C33" s="92"/>
      <c r="D33" s="104"/>
      <c r="E33" s="104"/>
      <c r="F33" s="104"/>
      <c r="G33" s="104"/>
      <c r="H33" s="104"/>
      <c r="I33" s="104"/>
      <c r="J33" s="104"/>
      <c r="K33" s="104"/>
      <c r="L33" s="104"/>
      <c r="M33" s="104"/>
      <c r="N33" s="104"/>
    </row>
    <row r="34" spans="1:19" ht="23.25" hidden="1" customHeight="1" thickBot="1">
      <c r="A34" s="76" t="s">
        <v>381</v>
      </c>
      <c r="B34" s="9"/>
      <c r="C34" s="9"/>
      <c r="D34" s="9"/>
      <c r="E34" s="9"/>
      <c r="F34" s="9"/>
      <c r="G34" s="9"/>
      <c r="H34" s="6"/>
      <c r="I34" s="6"/>
      <c r="J34" s="6"/>
      <c r="K34" s="6"/>
      <c r="L34" s="49"/>
      <c r="M34" s="6"/>
      <c r="N34" s="102" t="s">
        <v>41</v>
      </c>
      <c r="O34" s="205"/>
    </row>
    <row r="35" spans="1:19" s="6" customFormat="1" ht="51" hidden="1" customHeight="1" thickBot="1">
      <c r="A35" s="185" t="s">
        <v>259</v>
      </c>
      <c r="B35" s="186" t="s">
        <v>260</v>
      </c>
      <c r="C35" s="187" t="s">
        <v>261</v>
      </c>
      <c r="D35" s="186" t="s">
        <v>262</v>
      </c>
      <c r="E35" s="188" t="s">
        <v>263</v>
      </c>
      <c r="F35" s="189" t="s">
        <v>551</v>
      </c>
      <c r="G35" s="189" t="s">
        <v>265</v>
      </c>
      <c r="H35" s="189" t="s">
        <v>552</v>
      </c>
      <c r="I35" s="86" t="s">
        <v>553</v>
      </c>
      <c r="J35" s="87" t="s">
        <v>25</v>
      </c>
      <c r="K35" s="190" t="s">
        <v>554</v>
      </c>
      <c r="L35" s="189" t="s">
        <v>27</v>
      </c>
      <c r="M35" s="189" t="s">
        <v>28</v>
      </c>
      <c r="N35" s="191" t="s">
        <v>267</v>
      </c>
      <c r="O35" s="112"/>
    </row>
    <row r="36" spans="1:19" ht="18.75" hidden="1" customHeight="1">
      <c r="A36" s="194">
        <v>1</v>
      </c>
      <c r="B36" s="132"/>
      <c r="C36" s="195"/>
      <c r="D36" s="163"/>
      <c r="E36" s="163">
        <f>D36</f>
        <v>0</v>
      </c>
      <c r="F36" s="163">
        <v>0</v>
      </c>
      <c r="G36" s="164">
        <f>E36-F36</f>
        <v>0</v>
      </c>
      <c r="H36" s="165">
        <f>SUM(I36:N36)</f>
        <v>0</v>
      </c>
      <c r="I36" s="163"/>
      <c r="J36" s="163"/>
      <c r="K36" s="163"/>
      <c r="L36" s="163"/>
      <c r="M36" s="163"/>
      <c r="N36" s="163"/>
      <c r="O36" s="117" t="s">
        <v>572</v>
      </c>
    </row>
    <row r="37" spans="1:19" ht="18.75" hidden="1" customHeight="1">
      <c r="A37" s="197"/>
      <c r="C37" s="206" t="s">
        <v>304</v>
      </c>
      <c r="D37" s="207">
        <f t="shared" ref="D37:N37" si="2">SUM(D36:D36)</f>
        <v>0</v>
      </c>
      <c r="E37" s="207">
        <f t="shared" si="2"/>
        <v>0</v>
      </c>
      <c r="F37" s="207">
        <f t="shared" si="2"/>
        <v>0</v>
      </c>
      <c r="G37" s="207">
        <f t="shared" si="2"/>
        <v>0</v>
      </c>
      <c r="H37" s="207">
        <f t="shared" si="2"/>
        <v>0</v>
      </c>
      <c r="I37" s="207">
        <f t="shared" si="2"/>
        <v>0</v>
      </c>
      <c r="J37" s="207">
        <f t="shared" si="2"/>
        <v>0</v>
      </c>
      <c r="K37" s="207">
        <f t="shared" si="2"/>
        <v>0</v>
      </c>
      <c r="L37" s="207">
        <f t="shared" si="2"/>
        <v>0</v>
      </c>
      <c r="M37" s="207">
        <f t="shared" si="2"/>
        <v>0</v>
      </c>
      <c r="N37" s="207">
        <f t="shared" si="2"/>
        <v>0</v>
      </c>
    </row>
    <row r="38" spans="1:19" ht="15.75" hidden="1" customHeight="1">
      <c r="A38" s="197"/>
      <c r="C38" s="208"/>
      <c r="D38" s="209"/>
      <c r="E38" s="209"/>
      <c r="F38" s="209"/>
      <c r="G38" s="209"/>
      <c r="H38" s="209"/>
      <c r="I38" s="209"/>
      <c r="J38" s="209"/>
      <c r="K38" s="209"/>
      <c r="L38" s="209"/>
      <c r="M38" s="209"/>
      <c r="N38" s="209"/>
    </row>
    <row r="39" spans="1:19" s="74" customFormat="1" ht="17.25" hidden="1" customHeight="1" thickBot="1">
      <c r="A39" s="277" t="s">
        <v>382</v>
      </c>
      <c r="B39" s="4"/>
      <c r="C39" s="4"/>
      <c r="D39" s="72"/>
      <c r="E39" s="72"/>
      <c r="F39" s="4"/>
      <c r="G39" s="4"/>
      <c r="J39" s="4"/>
      <c r="L39" s="85"/>
      <c r="M39" s="110"/>
      <c r="N39" s="102" t="s">
        <v>41</v>
      </c>
      <c r="O39" s="111"/>
    </row>
    <row r="40" spans="1:19" s="74" customFormat="1" ht="53.25" hidden="1" customHeight="1" thickBot="1">
      <c r="A40" s="185" t="s">
        <v>259</v>
      </c>
      <c r="B40" s="186" t="s">
        <v>260</v>
      </c>
      <c r="C40" s="187" t="s">
        <v>261</v>
      </c>
      <c r="D40" s="186" t="s">
        <v>262</v>
      </c>
      <c r="E40" s="188" t="s">
        <v>263</v>
      </c>
      <c r="F40" s="189" t="s">
        <v>264</v>
      </c>
      <c r="G40" s="189" t="s">
        <v>265</v>
      </c>
      <c r="H40" s="189" t="s">
        <v>266</v>
      </c>
      <c r="I40" s="86" t="s">
        <v>24</v>
      </c>
      <c r="J40" s="87" t="s">
        <v>577</v>
      </c>
      <c r="K40" s="190" t="s">
        <v>26</v>
      </c>
      <c r="L40" s="189" t="s">
        <v>27</v>
      </c>
      <c r="M40" s="189" t="s">
        <v>28</v>
      </c>
      <c r="N40" s="191" t="s">
        <v>267</v>
      </c>
      <c r="O40" s="111"/>
    </row>
    <row r="41" spans="1:19" s="74" customFormat="1" ht="18" hidden="1" customHeight="1">
      <c r="A41" s="220"/>
      <c r="B41" s="211"/>
      <c r="C41" s="227"/>
      <c r="D41" s="212">
        <v>0</v>
      </c>
      <c r="E41" s="213">
        <f>D41</f>
        <v>0</v>
      </c>
      <c r="F41" s="214">
        <v>0</v>
      </c>
      <c r="G41" s="215">
        <f>D41-F41</f>
        <v>0</v>
      </c>
      <c r="H41" s="170">
        <f>SUM(K41:N41)</f>
        <v>0</v>
      </c>
      <c r="I41" s="217"/>
      <c r="J41" s="217"/>
      <c r="K41" s="214"/>
      <c r="L41" s="214">
        <v>0</v>
      </c>
      <c r="M41" s="218">
        <v>0</v>
      </c>
      <c r="N41" s="215"/>
      <c r="O41" s="219" t="s">
        <v>45</v>
      </c>
    </row>
    <row r="42" spans="1:19" s="75" customFormat="1" ht="18" hidden="1" customHeight="1">
      <c r="A42" s="114"/>
      <c r="B42" s="127"/>
      <c r="C42" s="115" t="s">
        <v>304</v>
      </c>
      <c r="D42" s="155">
        <v>0</v>
      </c>
      <c r="E42" s="155">
        <v>0</v>
      </c>
      <c r="F42" s="155">
        <v>0</v>
      </c>
      <c r="G42" s="155">
        <v>0</v>
      </c>
      <c r="H42" s="155">
        <v>0</v>
      </c>
      <c r="I42" s="155">
        <v>0</v>
      </c>
      <c r="J42" s="155">
        <v>0</v>
      </c>
      <c r="K42" s="155">
        <v>0</v>
      </c>
      <c r="L42" s="155">
        <v>0</v>
      </c>
      <c r="M42" s="155">
        <v>0</v>
      </c>
      <c r="N42" s="155">
        <v>0</v>
      </c>
      <c r="O42" s="116"/>
    </row>
    <row r="43" spans="1:19" s="75" customFormat="1" ht="13.5" hidden="1" customHeight="1">
      <c r="A43" s="114"/>
      <c r="B43" s="127"/>
      <c r="C43" s="128"/>
      <c r="D43" s="141"/>
      <c r="E43" s="141"/>
      <c r="F43" s="141"/>
      <c r="G43" s="141"/>
      <c r="H43" s="141"/>
      <c r="I43" s="141"/>
      <c r="J43" s="141"/>
      <c r="K43" s="141"/>
      <c r="L43" s="141"/>
      <c r="M43" s="141"/>
      <c r="N43" s="141"/>
      <c r="O43" s="116"/>
    </row>
    <row r="44" spans="1:19" s="75" customFormat="1" ht="20.25" hidden="1" customHeight="1" thickBot="1">
      <c r="A44" s="70" t="s">
        <v>433</v>
      </c>
      <c r="B44" s="74"/>
      <c r="C44" s="71"/>
      <c r="D44" s="4"/>
      <c r="E44" s="72"/>
      <c r="F44" s="4"/>
      <c r="G44" s="4"/>
      <c r="H44" s="4"/>
      <c r="I44" s="4"/>
      <c r="J44" s="4"/>
      <c r="K44" s="4"/>
      <c r="L44" s="73" t="s">
        <v>41</v>
      </c>
      <c r="M44" s="67"/>
      <c r="N44" s="74"/>
      <c r="O44" s="111"/>
    </row>
    <row r="45" spans="1:19" s="75" customFormat="1" ht="47.25" hidden="1" customHeight="1" thickBot="1">
      <c r="A45" s="185" t="s">
        <v>259</v>
      </c>
      <c r="B45" s="186" t="s">
        <v>260</v>
      </c>
      <c r="C45" s="187" t="s">
        <v>261</v>
      </c>
      <c r="D45" s="186" t="s">
        <v>262</v>
      </c>
      <c r="E45" s="188" t="s">
        <v>263</v>
      </c>
      <c r="F45" s="189" t="s">
        <v>264</v>
      </c>
      <c r="G45" s="189" t="s">
        <v>265</v>
      </c>
      <c r="H45" s="189" t="s">
        <v>266</v>
      </c>
      <c r="I45" s="86" t="s">
        <v>24</v>
      </c>
      <c r="J45" s="87" t="s">
        <v>577</v>
      </c>
      <c r="K45" s="190" t="s">
        <v>26</v>
      </c>
      <c r="L45" s="189" t="s">
        <v>27</v>
      </c>
      <c r="M45" s="189" t="s">
        <v>28</v>
      </c>
      <c r="N45" s="191" t="s">
        <v>267</v>
      </c>
      <c r="O45" s="112"/>
    </row>
    <row r="46" spans="1:19" s="75" customFormat="1" ht="16.5" hidden="1" customHeight="1">
      <c r="A46" s="220"/>
      <c r="B46" s="222"/>
      <c r="C46" s="227"/>
      <c r="D46" s="223">
        <v>0</v>
      </c>
      <c r="E46" s="218">
        <f>D46</f>
        <v>0</v>
      </c>
      <c r="F46" s="224">
        <v>0</v>
      </c>
      <c r="G46" s="215">
        <f>D46-F46</f>
        <v>0</v>
      </c>
      <c r="H46" s="170">
        <f>SUM(K46:N46)</f>
        <v>0</v>
      </c>
      <c r="I46" s="216"/>
      <c r="J46" s="216"/>
      <c r="K46" s="215">
        <v>0</v>
      </c>
      <c r="L46" s="215"/>
      <c r="M46" s="224">
        <v>0</v>
      </c>
      <c r="N46" s="215"/>
      <c r="O46" s="219" t="s">
        <v>45</v>
      </c>
      <c r="S46" s="172"/>
    </row>
    <row r="47" spans="1:19" s="75" customFormat="1" ht="16.5" hidden="1" customHeight="1">
      <c r="A47" s="276"/>
      <c r="B47" s="3"/>
      <c r="C47" s="123" t="s">
        <v>304</v>
      </c>
      <c r="D47" s="97">
        <f t="shared" ref="D47:N47" si="3">SUM(D46:D46)</f>
        <v>0</v>
      </c>
      <c r="E47" s="97">
        <f t="shared" si="3"/>
        <v>0</v>
      </c>
      <c r="F47" s="97">
        <f t="shared" si="3"/>
        <v>0</v>
      </c>
      <c r="G47" s="97">
        <f t="shared" si="3"/>
        <v>0</v>
      </c>
      <c r="H47" s="97">
        <f t="shared" si="3"/>
        <v>0</v>
      </c>
      <c r="I47" s="97">
        <f t="shared" si="3"/>
        <v>0</v>
      </c>
      <c r="J47" s="97">
        <f t="shared" si="3"/>
        <v>0</v>
      </c>
      <c r="K47" s="97">
        <f t="shared" si="3"/>
        <v>0</v>
      </c>
      <c r="L47" s="97">
        <f t="shared" si="3"/>
        <v>0</v>
      </c>
      <c r="M47" s="97">
        <f t="shared" si="3"/>
        <v>0</v>
      </c>
      <c r="N47" s="97">
        <f t="shared" si="3"/>
        <v>0</v>
      </c>
      <c r="O47" s="111"/>
    </row>
    <row r="48" spans="1:19" s="75" customFormat="1" ht="19.5" customHeight="1">
      <c r="A48" s="276"/>
      <c r="B48" s="3"/>
      <c r="C48" s="92"/>
      <c r="D48" s="104"/>
      <c r="E48" s="104"/>
      <c r="F48" s="104"/>
      <c r="G48" s="104"/>
      <c r="H48" s="104"/>
      <c r="I48" s="104"/>
      <c r="J48" s="104"/>
      <c r="K48" s="104"/>
      <c r="L48" s="104"/>
      <c r="M48" s="104"/>
      <c r="N48" s="104"/>
      <c r="O48" s="111"/>
    </row>
    <row r="49" spans="1:16" s="75" customFormat="1" ht="19.5" customHeight="1">
      <c r="A49" s="99"/>
      <c r="B49" s="261"/>
      <c r="C49" s="92"/>
      <c r="D49" s="9"/>
      <c r="E49" s="18" t="s">
        <v>244</v>
      </c>
      <c r="F49" s="9"/>
      <c r="G49" s="9"/>
      <c r="H49" s="9"/>
      <c r="I49" s="9"/>
      <c r="J49" s="9"/>
      <c r="K49" s="9"/>
      <c r="L49" s="9"/>
      <c r="M49" s="9"/>
      <c r="N49" s="9"/>
      <c r="O49" s="111"/>
    </row>
    <row r="50" spans="1:16" s="75" customFormat="1" ht="16.5" customHeight="1">
      <c r="A50" s="99"/>
      <c r="B50" s="236" t="s">
        <v>547</v>
      </c>
      <c r="C50" s="57"/>
      <c r="D50" s="9"/>
      <c r="E50" s="57"/>
      <c r="F50" s="9"/>
      <c r="G50" s="9"/>
      <c r="H50" s="9"/>
      <c r="I50" s="9"/>
      <c r="J50" s="9" t="s">
        <v>245</v>
      </c>
      <c r="L50" s="57"/>
      <c r="M50" s="9"/>
      <c r="N50" s="9"/>
      <c r="O50" s="111"/>
    </row>
    <row r="51" spans="1:16" s="75" customFormat="1" ht="16.5" customHeight="1">
      <c r="A51" s="43"/>
      <c r="B51" s="236" t="s">
        <v>246</v>
      </c>
      <c r="C51" s="57"/>
      <c r="D51" s="46"/>
      <c r="E51" s="37"/>
      <c r="F51" s="37"/>
      <c r="G51" s="271" t="s">
        <v>248</v>
      </c>
      <c r="H51" s="92"/>
      <c r="I51" s="57"/>
      <c r="J51" s="57"/>
      <c r="K51" s="46"/>
      <c r="L51" s="57" t="s">
        <v>247</v>
      </c>
      <c r="M51" s="46"/>
      <c r="N51" s="24"/>
      <c r="O51" s="111"/>
    </row>
    <row r="52" spans="1:16" ht="15.75">
      <c r="A52" s="12"/>
      <c r="B52" s="9"/>
      <c r="C52" s="37"/>
      <c r="D52" s="37"/>
      <c r="E52" s="46"/>
      <c r="F52" s="262"/>
      <c r="G52" s="271" t="s">
        <v>250</v>
      </c>
      <c r="H52" s="32"/>
      <c r="I52" s="57"/>
      <c r="J52" s="57"/>
      <c r="K52" s="37"/>
      <c r="L52" s="37"/>
      <c r="M52" s="37"/>
      <c r="N52" s="24"/>
      <c r="O52" s="75"/>
    </row>
    <row r="53" spans="1:16" s="131" customFormat="1" ht="15.75">
      <c r="A53" s="12"/>
      <c r="B53" s="32" t="s">
        <v>249</v>
      </c>
      <c r="C53" s="265"/>
      <c r="D53" s="9"/>
      <c r="E53" s="9"/>
      <c r="F53" s="37"/>
      <c r="G53" s="272" t="s">
        <v>253</v>
      </c>
      <c r="H53" s="265"/>
      <c r="I53" s="266"/>
      <c r="J53" s="57"/>
      <c r="K53" s="37"/>
      <c r="L53" s="32" t="s">
        <v>251</v>
      </c>
      <c r="M53" s="265"/>
      <c r="N53" s="24"/>
      <c r="O53" s="111"/>
      <c r="P53" s="75"/>
    </row>
    <row r="54" spans="1:16" s="131" customFormat="1" ht="13.5" customHeight="1">
      <c r="A54" s="240"/>
      <c r="B54" s="32" t="s">
        <v>252</v>
      </c>
      <c r="C54" s="265"/>
      <c r="D54" s="9"/>
      <c r="E54" s="264"/>
      <c r="F54" s="37"/>
      <c r="G54" s="37"/>
      <c r="H54" s="265"/>
      <c r="I54" s="265"/>
      <c r="J54" s="266"/>
      <c r="K54" s="266"/>
      <c r="L54" s="32" t="s">
        <v>254</v>
      </c>
      <c r="M54" s="265"/>
      <c r="N54" s="24"/>
      <c r="O54" s="267"/>
      <c r="P54" s="111"/>
    </row>
    <row r="55" spans="1:16" ht="15.75">
      <c r="A55" s="240"/>
      <c r="B55" s="129"/>
      <c r="C55" s="129"/>
      <c r="D55" s="145"/>
      <c r="E55" s="129"/>
      <c r="F55" s="131"/>
      <c r="G55" s="129"/>
      <c r="H55" s="145"/>
      <c r="I55" s="247"/>
      <c r="J55" s="20"/>
      <c r="K55" s="129"/>
      <c r="L55" s="131"/>
      <c r="M55" s="131"/>
      <c r="N55" s="131"/>
    </row>
    <row r="56" spans="1:16" ht="15">
      <c r="A56" s="145"/>
      <c r="B56" s="145"/>
      <c r="C56" s="145"/>
      <c r="D56" s="145"/>
      <c r="E56" s="145"/>
      <c r="F56" s="6"/>
      <c r="G56" s="145"/>
      <c r="H56" s="145"/>
      <c r="I56" s="145"/>
      <c r="J56" s="145"/>
      <c r="K56" s="146"/>
      <c r="L56" s="20"/>
      <c r="M56" s="129"/>
      <c r="N56" s="22"/>
    </row>
    <row r="57" spans="1:16" ht="13.5">
      <c r="J57" s="78"/>
    </row>
    <row r="58" spans="1:16" ht="13.5">
      <c r="B58" s="147"/>
      <c r="J58" s="78"/>
    </row>
    <row r="59" spans="1:16" ht="13.5">
      <c r="D59" s="6"/>
      <c r="E59" s="6"/>
      <c r="F59" s="6"/>
      <c r="G59" s="6"/>
      <c r="H59" s="78"/>
      <c r="I59" s="78"/>
      <c r="J59" s="78"/>
      <c r="K59" s="6"/>
      <c r="L59" s="6"/>
      <c r="M59" s="6"/>
      <c r="N59" s="6"/>
    </row>
    <row r="60" spans="1:16" ht="13.5">
      <c r="D60" s="6"/>
      <c r="E60" s="6"/>
      <c r="F60" s="6"/>
      <c r="G60" s="6"/>
      <c r="H60" s="78"/>
      <c r="I60" s="78"/>
      <c r="J60" s="78"/>
      <c r="K60" s="6"/>
      <c r="L60" s="6"/>
      <c r="M60" s="6"/>
      <c r="N60" s="6"/>
    </row>
    <row r="61" spans="1:16" ht="13.5">
      <c r="A61" s="6"/>
      <c r="B61" s="6"/>
      <c r="C61" s="6"/>
      <c r="D61" s="6"/>
      <c r="E61" s="6"/>
      <c r="F61" s="6"/>
      <c r="G61" s="6"/>
      <c r="H61" s="78"/>
      <c r="I61" s="78"/>
      <c r="J61" s="78"/>
      <c r="K61" s="6"/>
      <c r="L61" s="6"/>
      <c r="M61" s="6"/>
      <c r="N61" s="6"/>
    </row>
    <row r="62" spans="1:16">
      <c r="B62" s="147"/>
    </row>
  </sheetData>
  <mergeCells count="1">
    <mergeCell ref="A8:N8"/>
  </mergeCells>
  <pageMargins left="0.43307086614173229" right="0.35433070866141736" top="0.78740157480314965" bottom="0.78740157480314965" header="0.23622047244094491" footer="0.39370078740157483"/>
  <pageSetup paperSize="9" orientation="landscape" r:id="rId1"/>
  <headerFooter alignWithMargins="0">
    <oddFooter xml:space="preserve">&amp;C&amp;8Pagina &amp;P din &amp;N&amp;R&amp;8(L17) HCL nr. 556 din 21.12.2023 
Alte cheltuieli asimilate investițiilor
ANEXA 3 BIS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X</cp:lastModifiedBy>
  <cp:revision/>
  <dcterms:created xsi:type="dcterms:W3CDTF">1996-10-14T23:33:28Z</dcterms:created>
  <dcterms:modified xsi:type="dcterms:W3CDTF">2024-01-22T07:59:54Z</dcterms:modified>
  <cp:category/>
  <cp:contentStatus/>
</cp:coreProperties>
</file>