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790" activeTab="3"/>
  </bookViews>
  <sheets>
    <sheet name="Sheet2" sheetId="1" r:id="rId1"/>
    <sheet name="Lista 2022" sheetId="2" r:id="rId2"/>
    <sheet name="Studii si proiecte 2022" sheetId="3" r:id="rId3"/>
    <sheet name="Dotari 2022" sheetId="4" r:id="rId4"/>
    <sheet name="Alte chelt 2022" sheetId="5" r:id="rId5"/>
  </sheets>
  <definedNames>
    <definedName name="OLE_LINK1" localSheetId="2">'Studii si proiecte 2022'!#REF!</definedName>
    <definedName name="_xlnm.Print_Area" localSheetId="4">'Alte chelt 2022'!$A$1:$O$85</definedName>
    <definedName name="_xlnm.Print_Area" localSheetId="3">'Dotari 2022'!$A$1:$O$121</definedName>
    <definedName name="_xlnm.Print_Area" localSheetId="1">'Lista 2022'!$A$1:$N$597</definedName>
    <definedName name="_xlnm.Print_Area" localSheetId="2">'Studii si proiecte 2022'!$A$1:$O$256</definedName>
    <definedName name="_xlnm.Print_Titles" localSheetId="4">'Alte chelt 2022'!$20:$20</definedName>
    <definedName name="_xlnm.Print_Titles" localSheetId="3">'Dotari 2022'!$11:$11</definedName>
    <definedName name="_xlnm.Print_Titles" localSheetId="1">'Lista 2022'!$10:$11</definedName>
    <definedName name="_xlnm.Print_Titles" localSheetId="2">'Studii si proiecte 2022'!$10:$10</definedName>
  </definedNames>
  <calcPr fullCalcOnLoad="1"/>
</workbook>
</file>

<file path=xl/comments2.xml><?xml version="1.0" encoding="utf-8"?>
<comments xmlns="http://schemas.openxmlformats.org/spreadsheetml/2006/main">
  <authors>
    <author>Tati</author>
  </authors>
  <commentList>
    <comment ref="D230" authorId="0">
      <text>
        <r>
          <rPr>
            <b/>
            <sz val="9"/>
            <rFont val="Tahoma"/>
            <family val="2"/>
          </rPr>
          <t>Tati:</t>
        </r>
        <r>
          <rPr>
            <sz val="9"/>
            <rFont val="Tahoma"/>
            <family val="2"/>
          </rPr>
          <t xml:space="preserve">
ATENTIE</t>
        </r>
      </text>
    </comment>
  </commentList>
</comments>
</file>

<file path=xl/sharedStrings.xml><?xml version="1.0" encoding="utf-8"?>
<sst xmlns="http://schemas.openxmlformats.org/spreadsheetml/2006/main" count="1897" uniqueCount="577">
  <si>
    <t>*studii şi proiecte</t>
  </si>
  <si>
    <t xml:space="preserve">A </t>
  </si>
  <si>
    <t xml:space="preserve">Obiective de investiţii  </t>
  </si>
  <si>
    <t>în continuare</t>
  </si>
  <si>
    <t>B</t>
  </si>
  <si>
    <t>noi</t>
  </si>
  <si>
    <t>C</t>
  </si>
  <si>
    <t xml:space="preserve"> de investiţii </t>
  </si>
  <si>
    <t>C A P I T O L U L   51</t>
  </si>
  <si>
    <t>Total, din care:</t>
  </si>
  <si>
    <t xml:space="preserve">Obiective de investiţii </t>
  </si>
  <si>
    <t xml:space="preserve">Dotări si alte cheltuieli </t>
  </si>
  <si>
    <t>de investiţii</t>
  </si>
  <si>
    <t xml:space="preserve">Total,  din care: </t>
  </si>
  <si>
    <t xml:space="preserve">Dotări şi alte cheltuieli </t>
  </si>
  <si>
    <t xml:space="preserve">de investiţii </t>
  </si>
  <si>
    <t>mii lei</t>
  </si>
  <si>
    <t>Nr. crt.</t>
  </si>
  <si>
    <t>TOTAL</t>
  </si>
  <si>
    <t>Denumirea proiectului</t>
  </si>
  <si>
    <t xml:space="preserve"> </t>
  </si>
  <si>
    <t>Buget local</t>
  </si>
  <si>
    <t>Avizat,</t>
  </si>
  <si>
    <t>Se aprobă,</t>
  </si>
  <si>
    <t>*dotări independente</t>
  </si>
  <si>
    <t>C A P I T O L U L  70</t>
  </si>
  <si>
    <t>LOCUINŢE, SERVICII ŞI DEZVOLTARE PUBLICĂ</t>
  </si>
  <si>
    <t>CAP. 70   LOCUINŢE, SERVICII ŞI DEZVOLTARE PUBLICĂ</t>
  </si>
  <si>
    <t>CAP.70   LOCUINŢE, SERVICII ŞI DEZVOLTARE PUBLICĂ</t>
  </si>
  <si>
    <t>01.02</t>
  </si>
  <si>
    <t>01.30</t>
  </si>
  <si>
    <t>Buget stat</t>
  </si>
  <si>
    <t>01.01</t>
  </si>
  <si>
    <t>total din care:</t>
  </si>
  <si>
    <t>Construcţii</t>
  </si>
  <si>
    <t>01.01.</t>
  </si>
  <si>
    <t>Maşini, echipamente si mijloace de transport</t>
  </si>
  <si>
    <t>01.02.</t>
  </si>
  <si>
    <t>Mobilier, aparatură birotică şi alte active corporale</t>
  </si>
  <si>
    <t>01.03.</t>
  </si>
  <si>
    <t>01.30.</t>
  </si>
  <si>
    <t xml:space="preserve">INV / C+M - mii lei </t>
  </si>
  <si>
    <t>(SOFTWARE)</t>
  </si>
  <si>
    <t>Alte active fixe (inclusiv reparatii capitale)</t>
  </si>
  <si>
    <t xml:space="preserve">Valoarea totală actualizată </t>
  </si>
  <si>
    <t>Fond mediu</t>
  </si>
  <si>
    <t>Surse cf.OG 19/94</t>
  </si>
  <si>
    <t>Solicitare / Responsabil</t>
  </si>
  <si>
    <t>TOTAL GENERAL, din care:</t>
  </si>
  <si>
    <t>72.01.01</t>
  </si>
  <si>
    <t xml:space="preserve">Aport capital                                                        </t>
  </si>
  <si>
    <t xml:space="preserve">ANEXA 3 </t>
  </si>
  <si>
    <t>A</t>
  </si>
  <si>
    <t xml:space="preserve">         CAP. 51   AUTORITĂŢI  PUBLICE ŞI ACȚIUNI EXTERNE</t>
  </si>
  <si>
    <t>01.03</t>
  </si>
  <si>
    <t>C A P I T O L U L  61</t>
  </si>
  <si>
    <t>ORDINE PUBLICĂ ŞI SIGURANŢĂ NAŢIONALĂ</t>
  </si>
  <si>
    <t xml:space="preserve">CAP.68   ASIGURĂRI ŞI ASISTENŢĂ   SOCIALĂ    </t>
  </si>
  <si>
    <t>CAP. 74  PROTECŢIA MEDIULUI</t>
  </si>
  <si>
    <t>PROTECŢIA MEDIULUI</t>
  </si>
  <si>
    <t>C A P I T O L U L  67</t>
  </si>
  <si>
    <t>CULTURA, RECREERE SI RELIGIE</t>
  </si>
  <si>
    <t>C A P I T O L U L  65</t>
  </si>
  <si>
    <t>INVATAMANT</t>
  </si>
  <si>
    <t xml:space="preserve">              </t>
  </si>
  <si>
    <t>TRANSPORTURI</t>
  </si>
  <si>
    <t>C A P I T O L U L  68</t>
  </si>
  <si>
    <t xml:space="preserve">ASIGURĂRI ŞI ASISTENŢĂ   SOCIALĂ    </t>
  </si>
  <si>
    <t>ANEXA 3</t>
  </si>
  <si>
    <t>C A P I T O L U L  84</t>
  </si>
  <si>
    <t>C A P I T O L U L  74</t>
  </si>
  <si>
    <t>CAP. 84  TRANSPORTURI</t>
  </si>
  <si>
    <t>Proiecte FEN 2014-2020</t>
  </si>
  <si>
    <r>
      <t xml:space="preserve">                  </t>
    </r>
    <r>
      <rPr>
        <b/>
        <u val="single"/>
        <sz val="10.5"/>
        <rFont val="Times New Roman CE"/>
        <family val="0"/>
      </rPr>
      <t>C A P I T O L U L  6</t>
    </r>
    <r>
      <rPr>
        <b/>
        <sz val="10.5"/>
        <rFont val="Times New Roman CE"/>
        <family val="0"/>
      </rPr>
      <t>6</t>
    </r>
  </si>
  <si>
    <t>SĂNĂTATE</t>
  </si>
  <si>
    <t>PRIMAR</t>
  </si>
  <si>
    <t>CAP.66 SANATATE</t>
  </si>
  <si>
    <t>* alte cheltuieli asimilate</t>
  </si>
  <si>
    <t xml:space="preserve"> CAP.61 ORDINE PUBLICĂ ŞI SIGURANŢĂ NAŢIONALĂ </t>
  </si>
  <si>
    <t>AUTORITĂŢI  PUBLICE ŞI ACȚIUNI EXTERNE</t>
  </si>
  <si>
    <t>Construcții-Montaj</t>
  </si>
  <si>
    <t>Dotări și alte cheltuieli</t>
  </si>
  <si>
    <t>*dotări</t>
  </si>
  <si>
    <t>* dotări</t>
  </si>
  <si>
    <t>*alte cheltuieli asimilate investițiilor</t>
  </si>
  <si>
    <t>*Alte cheltuieli asimilate investițiilor</t>
  </si>
  <si>
    <t>*studii și proiecte</t>
  </si>
  <si>
    <t>CAP. 51   AUTORITĂŢI  PUBLICE ŞI ACȚIUNI EXTERNE</t>
  </si>
  <si>
    <t>CAP.65   ÎNVĂȚĂMÂNT</t>
  </si>
  <si>
    <t>CAP.67  CULTURĂ, RECREERE ȘI RELIGIE</t>
  </si>
  <si>
    <t>CAP.  66 - SĂNĂTATE</t>
  </si>
  <si>
    <t xml:space="preserve">Dotări și alte cheltuieli </t>
  </si>
  <si>
    <t>CAP. 66 SĂNĂTATE</t>
  </si>
  <si>
    <t xml:space="preserve">Rest de executat </t>
  </si>
  <si>
    <t>01,03</t>
  </si>
  <si>
    <t xml:space="preserve">                       ROMÂNIA</t>
  </si>
  <si>
    <t>”PUZ Atelierelor”</t>
  </si>
  <si>
    <t>C A P I T O L U L  80</t>
  </si>
  <si>
    <t>ACȚIUNI GENERALE ECONOMICE, COMERCIALE ȘI DE MUNCĂ</t>
  </si>
  <si>
    <t>CAP. 80  ACȚIUNI GENERALE ECONOMICE, COMERCIALE ȘI DE MUNCĂ</t>
  </si>
  <si>
    <t xml:space="preserve"> CAP. 80  ACȚIUNI GENERALE ECONOMICE, COMERCIALE ȘI DE MUNCĂ</t>
  </si>
  <si>
    <t xml:space="preserve">                       JUDEȚUL CONSTANȚA</t>
  </si>
  <si>
    <t xml:space="preserve">                       CONSILIUL LOCAL</t>
  </si>
  <si>
    <t xml:space="preserve">                       MUNICIPIUL CONSTANȚA</t>
  </si>
  <si>
    <t xml:space="preserve">   CAP.68   ASIGURĂRI ŞI ASISTENŢĂ   SOCIALĂ    </t>
  </si>
  <si>
    <t xml:space="preserve"> CAP. 81  COMBUSTIBILI ȘI ENERGIE</t>
  </si>
  <si>
    <t>C A P I T O L U L  81</t>
  </si>
  <si>
    <t>COMBUSTIBILI ȘI ENERGIE</t>
  </si>
  <si>
    <t>Spitalul Clinic de Boli Infecțioase Constanța</t>
  </si>
  <si>
    <t>Marian FILIP</t>
  </si>
  <si>
    <t>Inspector,</t>
  </si>
  <si>
    <t>Denisa Maria ION</t>
  </si>
  <si>
    <r>
      <t xml:space="preserve">                      </t>
    </r>
    <r>
      <rPr>
        <b/>
        <sz val="10.5"/>
        <rFont val="Times New Roman CE"/>
        <family val="0"/>
      </rPr>
      <t xml:space="preserve">                                                                            CAP.61 ORDINE PUBLICĂ ŞI SIGURANŢĂ NAŢIONALĂ</t>
    </r>
    <r>
      <rPr>
        <sz val="10.5"/>
        <rFont val="Times New Roman CE"/>
        <family val="0"/>
      </rPr>
      <t xml:space="preserve">  </t>
    </r>
  </si>
  <si>
    <t>ORDONATOR PRINCIPAL DE CREDITE,</t>
  </si>
  <si>
    <t>PREȘEDINTE ȘEDINȚĂ,</t>
  </si>
  <si>
    <t>CONTRASEMNEAZĂ</t>
  </si>
  <si>
    <t>Elaborare documentație tehnico-economică aferentă obiectivului de investiții „Creșterea eficienței energetice a imobilului Colegiul Naţional Mircea cel Bătrân, Constanta” (PT, DTAC,  avize, DTOE, DDE, CS , asistenţă tehnică din partea proiectantului, altele)</t>
  </si>
  <si>
    <t>Vergil CHIȚAC</t>
  </si>
  <si>
    <t>VERGIL CHIȚAC</t>
  </si>
  <si>
    <t xml:space="preserve"> Programul de dezvoltare edilitara a municipiului Constanta - zona Faleza Nord</t>
  </si>
  <si>
    <t>”PUZ - Spital regional”</t>
  </si>
  <si>
    <t>”PUZ - Delavrancea”</t>
  </si>
  <si>
    <t>”PUZ - Regenerare urbană zona BALADA”</t>
  </si>
  <si>
    <t>”PUZ - Actualizare documentație de urbanism zona COMPOZITORI”</t>
  </si>
  <si>
    <t>”PUZ - Regenerare și revitalizare urbană zona DN3C”</t>
  </si>
  <si>
    <t>”Pachet licențe sistem informatic portal și gestiune electronică a documentelor” - Proiect SMART CT</t>
  </si>
  <si>
    <t>”Pachete cu semnături electronice”</t>
  </si>
  <si>
    <t>01,01</t>
  </si>
  <si>
    <t>“Execuția branșamentelor de energie electrică necesare alimentării stațiilor de reîncărcare aferente proiectelor ”Achiziția de mijloace de transport public – autobuze electrice cu lungimea de 12 ml” și ” Achiziția de mijloace de transport public – autobuze electrice cu lungimea de 10 ml” locații: strada Cișmelei cap de linie CT BUS, strada Theodor Burada/Gării cap de linie CT BUS și strada Industrială garaj CT BUS (SF, DTAC, PT, DE, POE, verificare proiect, asistență tehnică a execuției instalațiilor de utilizare - coloane electrice alimentare, punctelor de conexiune și montare a stațiilor de reîncărcare, altele)”</t>
  </si>
  <si>
    <t>”Execuție branșament electric aferent imobilului Cazino Constanța”</t>
  </si>
  <si>
    <t>”Execuție rețele alimentare cu apă, canalizare menajeră și pluvială, aferente imobilului Cazino Constanța”</t>
  </si>
  <si>
    <t>”Elaborare documentație tehnico-economică (expretiză tehnică, studii de teren - geotehnic și topografic, studiu de trafic, studiu peisagistic, DALI, proiect tehnic pentru autorizarea lucrărilor, POE, PT și DE, altele, cerere de finanțare) aferentă obiectivului de investiții ”Îmbunătățirea mobilității în municipiul Constanța, zona Bulevardul Mamaia”</t>
  </si>
  <si>
    <t>”Actualizare/elaborare documentație tehnico-economică (expretiză tehnică, DALI, proiect tehnic pentru autorizarea lucrărilor, POE, PT și DE și altele, cerere de finanțare) aferentă obiectivului de investiții ”Îmbunătățirea mediului urban în zona Tomis Nord - Henri Coandă”</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</si>
  <si>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43, Constanța”</t>
  </si>
  <si>
    <t>”Elaborare documentație tehnico-economică (expretiză tehnică, studii de teren - geotehnic și topografic, studiu de trafic, DALI, proiect tehnic pentru autorizarea lucrărilor, POE, PT și DE, altele, cerere de finanțare) aferentă obiectivului de investiții ”Îmbunătățirea mobilității în municipiul Constanța, B-dul I. C. Brătianu”</t>
  </si>
  <si>
    <t>”Elaborare documentație tehnico-economică (expretiză tehnică, studii de teren - geotehnic și topografic, studiu de trafic, DALI, proiect tehnic pentru autorizarea lucrărilor, POE, PT și DE, altele, cerere de finanțare) aferentă obiectivului de investiții ”Îmbunătățirea mobilității în municipiul Constanța, B-dul Tomis”</t>
  </si>
  <si>
    <t>”Camere supraveghere cu sistem fotovoltaic”</t>
  </si>
  <si>
    <t>”Reabilitare  și modernizare Bază de supraveghere a animalelor fără stapân” (studii de teren - studiu topografic, studiu geotehnic, SF de obiectiv mixt, PAC, PT, DDE, CS, documentații pentru obținerea avizelor/acordurilor și execuție lucrări)”</t>
  </si>
  <si>
    <t>”PUZ Poarta 6”</t>
  </si>
  <si>
    <t>”PUZ PARK &amp; RIDE NORD”</t>
  </si>
  <si>
    <t>”PUZ AVANTECH CONT”</t>
  </si>
  <si>
    <t>”Achiziție Studiu de Fezabilitate în vederea realizării obiectivului de investiții ”Pasarelă pietonală peste liniile de cale ferată între cartierul Km 4-5 și cartierul Faleză Sud - Poarta 6, în zona Liceului Lucian Blaga”</t>
  </si>
  <si>
    <t xml:space="preserve"> HCL 113/16.07.2010, Decizie civilă nr. 529/20.06.2012 a Tribunalului Constanţa, Secţia II Civilă şi Decizie civilă nr. 1517/13.12.2012  Secţia II Civilă de Contencios Administrativ şi Fiscal</t>
  </si>
  <si>
    <t>”Elaborare documentație tehnico-economică (temă de proiectare, studii de teren - geotehnic și topografic, expertiză tehnică, studiu de trafic, studiu peisagistic, DALI, proiect tehnic pentru autorizarea lucrărilor, POE, PT și DE, altele, cerere de finanțare) aferentă obiectivului de investiții ”Îmbunătățirea mediului urban în Zona Inel II”</t>
  </si>
  <si>
    <t>01,02</t>
  </si>
  <si>
    <t>HCL 274/2019, HCL 231/2020, HCL  96/2021</t>
  </si>
  <si>
    <t>”Creșterea siguranței în municipiul Constanța-SAFE CITY 20 prin realizarea unui sistem operațional integrat de monitorizare (etapele SF, PT, DDE, CS, avize si altele)”</t>
  </si>
  <si>
    <t>C A P I T O L U L   87</t>
  </si>
  <si>
    <t>ALTE ACȚIUNI ECONOMICE</t>
  </si>
  <si>
    <t>HCL 129/2021</t>
  </si>
  <si>
    <t>HCL 130/2021</t>
  </si>
  <si>
    <t>”Elaborare documentație tehnico-economică Studiu de Fezabilitate ”Parcare publică multietajată”, zona Casa de Cultură, în municipiul Constanța”</t>
  </si>
  <si>
    <t>Director executiv ,</t>
  </si>
  <si>
    <t>Ani Viorica MERLĂ</t>
  </si>
  <si>
    <t>Director executiv  ,</t>
  </si>
  <si>
    <t>cf. HCL 99/28.03.2019, HCL494/18.11.2019, HCL 187/2021</t>
  </si>
  <si>
    <t>HCL 202/2018, HCL 331/2019, HCL 185/2021</t>
  </si>
  <si>
    <t>cf. HCL 100/28.03.2019, HCL 413/14.10.2019, HCL 95/2021</t>
  </si>
  <si>
    <t>HCL 213/2021</t>
  </si>
  <si>
    <t>”Elaborare documentație tehnico-economică aferentă (expertiză tehnică, audit energetic, studii de teren - geotehnic și topografic, DALI - inclusiv studiu istoric, proiect pentru autorizarea execuției lucrărilor, POE, PT și DE și altele, cerere de finanțare) aferentă obiectivului de investiții ”Creșterea eficienței energetice a imobilului Casa Ion Bănescu”</t>
  </si>
  <si>
    <t>”Elaborare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Colegiul Național Pedagogic ”Constantin Brătescu”, Constanța”</t>
  </si>
  <si>
    <t>HCL  262/2018, HCL 149/2021</t>
  </si>
  <si>
    <t>Șef Birou urmărire execuție lucrări,</t>
  </si>
  <si>
    <t xml:space="preserve">”Elaborare expertize tehnice fântâni arteziene din municipiul Constanța și stațiunea Mamaia” </t>
  </si>
  <si>
    <t xml:space="preserve">                                                                            </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</si>
  <si>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6,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</si>
  <si>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57,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</si>
  <si>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AZUR,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</si>
  <si>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LUMEA COPIILOR,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</si>
  <si>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STELUȚELE MĂRII,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</si>
  <si>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”CĂSUȚA DE TURTĂ DULCE”,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</si>
  <si>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Colegiului Comercial ”Carol I”</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</si>
  <si>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23, Constanța”</t>
  </si>
  <si>
    <t>Transfer de la bugetul local</t>
  </si>
  <si>
    <t>Biroul apărare civilă, sănătate și securitate în muncă și situații de urgență</t>
  </si>
  <si>
    <t xml:space="preserve">”Elaborare documentație tehnico-economică a obiectivului de investiții ”Reabilitare, modernizare și dotare clădire administrativă - Servicii control” (DALI, PT, DTAC, studii, expertize, documentații avize, asistență tehnică din partea proiectantului, altele)” </t>
  </si>
  <si>
    <t xml:space="preserve">”Elaborare documentație tehnico-economică a obiectivului de investiții ”Reabilitare, modernizare și dotare sediu serviciu operativ rutier și ordine publică” (DALI, PT, DTAC, studii, expertize, documentații avize, asistență tehnică din partea proiectantului, altele)” </t>
  </si>
  <si>
    <t xml:space="preserve">”Elaborare documentație tehnico-economică a obiectivului de investiții ”Reabilitare, modernizare și dotare clădire pregătire fizică, vestiare - sală sport” (DALI, PT, DTAC, studii, expertize, documentații avize, asistență tehnică din partea proiectantului, altele)” </t>
  </si>
  <si>
    <t>cf. HCL 98/28.03.2019, HCL 349/2021</t>
  </si>
  <si>
    <t xml:space="preserve">  CAP.65 ÎNVĂȚĂMÂNT</t>
  </si>
  <si>
    <t>”Lucrări de investiții la sistemul de semaforizare din municipiul Constanța”</t>
  </si>
  <si>
    <t>HCL 193/2021</t>
  </si>
  <si>
    <t>HCL 346/2021</t>
  </si>
  <si>
    <t>”Elaborare documentație tehnico-economică a obiectivului de investiții ”Reabilitarea Școala nr. 39 Nicolae Tonitza (DALI, PT, DTAC, studii, expertiză tehnică, documentații avize, asistență tehnică din partea proiectantului, altele)”</t>
  </si>
  <si>
    <t>* Dotari</t>
  </si>
  <si>
    <t xml:space="preserve">Valoare totală initiala </t>
  </si>
  <si>
    <t>Decontat pâna la 31.12. 2021</t>
  </si>
  <si>
    <t>Alocatie 2022, din care:</t>
  </si>
  <si>
    <t>01,30</t>
  </si>
  <si>
    <t>”Achiziția unui elevator pentru transportul pe scări destinat persoanelor cu dizabilități”</t>
  </si>
  <si>
    <t>Direcția logistică</t>
  </si>
  <si>
    <t>Direcția cultură, educație, sport, turism</t>
  </si>
  <si>
    <t>Direcția generală poliție locală</t>
  </si>
  <si>
    <t>”Diverse echipamente informatice unități de învățământ ”</t>
  </si>
  <si>
    <t xml:space="preserve">Direcția digitalizare si tehnologia informației </t>
  </si>
  <si>
    <t>Direcția generală de asistență socială</t>
  </si>
  <si>
    <t>Direcția generală urbanism și patrimoniu</t>
  </si>
  <si>
    <t>”PUZ BABA NOVAC”</t>
  </si>
  <si>
    <t>”PUZ - Poarta 3 - Poarta 4”</t>
  </si>
  <si>
    <t>”PUZ - Piața Griviței”</t>
  </si>
  <si>
    <t>”Elaborare PUZ - Celulozei”</t>
  </si>
  <si>
    <t>”Actualizare PUZ Veterani - Constanța Sud, modificare HCL nr. 316/2013”</t>
  </si>
  <si>
    <t>”Actualizare PUZ Palazu Mare - modificare HCL 121/2011”</t>
  </si>
  <si>
    <t>”Actualizare PUZ Mamaia aprobat prin HCL 121/2013”</t>
  </si>
  <si>
    <t>Actualizare PUZ reabilitarea și revitalizarea zonei peninsulare a municipiului Constanța, aprobat prin HCL nr. 416/2003</t>
  </si>
  <si>
    <t>Elaborare PUZ zona centrală a municipiului Constanța</t>
  </si>
  <si>
    <t>Elaborare PUZ Tomis I - Tomis II, municipiul Constanța</t>
  </si>
  <si>
    <t>cf. HCL nr. 543/2019</t>
  </si>
  <si>
    <t>cf. HCL nr. 68/26.03.2021</t>
  </si>
  <si>
    <t>”Achiziție adăposturi modulare pentru stații de autobuze”</t>
  </si>
  <si>
    <t xml:space="preserve">”Amenajare integrată a zonei cuprinsă între accesul către Plaja Modern, strada Lebedei și taluz - Crearea de facilități pentru evenimente culturale și pentru petrecerea timpului liber, zone de promenadă și parcaje - elaborare documentație tehnico-economică în fazele DALI, DTAA și documentații topo-cadastrale în vederea exproprierii” </t>
  </si>
  <si>
    <t>Direcția generală gestionare servicii publice</t>
  </si>
  <si>
    <t>Direcția Financiară</t>
  </si>
  <si>
    <t>”Echipamente de supraveghere video pentru locuri de joacă, terenuri de sport, puncte de acces spre plajă și podețe”</t>
  </si>
  <si>
    <t>”Evaluare tehnică bolarzi”</t>
  </si>
  <si>
    <t xml:space="preserve">”Reabilitare și modernizare fântâni arteziene” </t>
  </si>
  <si>
    <t>”Elaborare documentație tehnico-economică Studiu de Fezabilitate ”Bulevardul Madrid, zona Cartier Tomis Plus, precum și legătura cu arterele principale din zonă”</t>
  </si>
  <si>
    <t>”Elaborare documentație tehnico-economică (Studiu de Fezabilitate/DTAC) în vederea edificării de parcări publice supraetajate în municipiul Constanța”</t>
  </si>
  <si>
    <t>”Achiziție insule ecologice pentru colectarea deșeurilor din municipiul Constanța”</t>
  </si>
  <si>
    <t>Direcția dezvoltare și fonduri europene</t>
  </si>
  <si>
    <t>HCL 462/2021</t>
  </si>
  <si>
    <t>”Achiziție și montaj panouri fotovoltaice și sistem BMS aferent obiectivului "Cresterea eficientei energetice a imobilului Scoala Gimnaziala nr. 38, Dimitrie Cantemir, Constanta"</t>
  </si>
  <si>
    <t>Elaborare documentatie tehnico-economica aferenta obiectivului de investitii "Reabilitarea, modernizarea si dotarea Liceului Tehnologic Dimitrie Leonida, Constanta" ( studii de teren, expertiza tehnica, audit energetic, DALI, modificare DALI, PT, PAC, DDE, CS, avize, altele) - certificat de performanță energetică</t>
  </si>
  <si>
    <t>HCL 275/2019, HCL 18/2021, HCL 430/2021</t>
  </si>
  <si>
    <t>”Placă permanentă proiect ”Achiziție mijloace de transport public - autobuze electrice 12m șes, Alba Iulia, Buzău, Constanța, Ploiești”</t>
  </si>
  <si>
    <t>Elaborare documentatie tehnico-economica aferenta obiectivului de investitii "Reabililitarea, modernizarea și dotarea Gradinitței cu program prelungit Amicii Constanța" (studii de teren, expertiză tehnică, audit energetic, DALI, PAC, PT, avize, altele) - certificat de performanță energetică</t>
  </si>
  <si>
    <t>Elaborare documentatie tehnico-economica aferenta obiectivului de investitii ”Reabilitarea, modernizarea și dotarea Grădiniței cu program prelungit MUGUREL, Constanța” (studii de teren, expertiză tehnică, audit energetic, DALI, PAC, PT, avize, altele) - certificat de performanță energetică</t>
  </si>
  <si>
    <t>HCL 193/2020</t>
  </si>
  <si>
    <t>HCL 148/2021</t>
  </si>
  <si>
    <t>HCL 36/2019</t>
  </si>
  <si>
    <t>”Elaborare documentație tehnico-economică (expretiză tehnică, studii de teren - geotehnic și topografic, studiu peisagistic, DALI, proiect tehnic pentru autorizarea lucrărilor, POE, PT și DE și altele, cerere de finanțare) aferentă obiectivului de investiții Îmbunătățirea mediului urban în zona Delfinariu - Faleză Nord”</t>
  </si>
  <si>
    <t>”Actualizare/elaborare documentație tehnico-economică aferentă obiectivului de investiții ”Restaurarea Muzeului de Artă Populară, Constanța” (studii de teren, expertiză tehnică, DALI, PT, DTAC, avize, altele)”</t>
  </si>
  <si>
    <t>”Elaborare documentații tehnico-economice (SF/DALI, PT, DTAC, avize, altele) necesare accesării fondurilor în cadrul Programelor derulate de către Administrația Fondului de Mediu”</t>
  </si>
  <si>
    <t>”Diverse echipamente de rețea și stocaj ”</t>
  </si>
  <si>
    <t>”Realizare rețea de cablare structurată”</t>
  </si>
  <si>
    <t xml:space="preserve">”Construire locuințe sociale, zona industrială Palas, Constanța” </t>
  </si>
  <si>
    <t>”Execuție branșament electric pentru obiectivul ”Scenă evenimente culturale - parcare Poarta 1, inclusiv amplasare punct de conexiune și post de transformare”</t>
  </si>
  <si>
    <t>HCL 454/26.11.2021</t>
  </si>
  <si>
    <t>HCL nr.80/30.04.2015, HCL nr.47/23.02.2016, HCL nr.33/31.01.2017,  HCL nr. 425/28.12.2017; HCL nr.141/25.04.2018, HCL 16/2021, HCL 427/2021</t>
  </si>
  <si>
    <t>HCL nr. 392/2017, HCL 243/2019, HCL 238/2020, HCL 239/2020, HCL 370/2021</t>
  </si>
  <si>
    <t xml:space="preserve">”Actualizare/elaborare documentaţiei tehnico - economică aferentă obiectivului de investiţii "Reabilitare clădire Colegiul Naţional Mihai Eminescu" (studii de teren, expertiză tehnică, DALI, PT, DTAC, avize, altele) </t>
  </si>
  <si>
    <t>Georgeta GHEORGHE</t>
  </si>
  <si>
    <t xml:space="preserve">”Creare spital modular pentru consolidarea capacității medicale a Spitalului Clinic de Boli Infecțioase Constanța, în contextul COVID-19 (documentatii conform HG 907/2016)” </t>
  </si>
  <si>
    <t>HCL  108/2020</t>
  </si>
  <si>
    <t>”Elaborare documentație tehnico-economică (temă de proiectare, studii de teren - geotehnic și topografic, SF - inclusiv studiu peisagistic, proiect tehnic pentru autorizarea lucrărilor, POE, PT și DE, altele, cerere de finanțare) aferentă obiectivului de investiții ”Perdea Verde”</t>
  </si>
  <si>
    <t>”Elaborare documentație tehnico-economică (temă de proiectare, studii de teren - geotehnic și topografic, SF - inclusiv studiu peisagistic, proiect tehnic pentru autorizarea lucrărilor, POE, PT și DE, altele, cerere de finanțare) aferentă obiectivului de investiții ”Îmbunătățirea mediului urban în zona Compozitori”</t>
  </si>
  <si>
    <t>”Elaborare documentație tehnico-econimică (studii de teren - geotehnic și topografic, expertiză tehnică, audit energetic, DALI, PTE, PAC- altele, POE, CS, DDE , inclusiv asistență tehnică din partea proiectantului pe parcursul executării lucrărilor și altele) aferentă obiectivului de investiții ”Reabilitarea, modernizarea și dotarea Școlii Gimnaziale nr. 30 Gheorghe Țițeica, Constanța”</t>
  </si>
  <si>
    <t>”Elaborare documentație tehnico-economică (SF, proiect tehnic pentru autorizarea lucrărilor, POE, PT și DE și altele, cerere de finanțare) aferentă proiectului ”Policlinica Municipală, specializarea cardiologie și oncologie, Constanța - spital nou”</t>
  </si>
  <si>
    <t>”Programul local multianual de finanțare a proiectelor de regenerare urbană în municipiul Constanța” REACTIS</t>
  </si>
  <si>
    <t>”Elaborare documentație tehnico-economică aferentă obiectivului  (audit energetic, expertiză tehnică, studii de teren - geotehnic și topografic,  DALI, proiect tehnic pentru autorizarea lucrărilor, POE, PT și DE și altele) aferentă obiectivului de investiții ”Reabilitarea și dotarea Teatrului Național de Operă și Balet Oleg Danovski, Constanța”</t>
  </si>
  <si>
    <t xml:space="preserve">”Actualizare documentații conform HG 907/2016 - Promenada Mării  Negre” </t>
  </si>
  <si>
    <t>Director Executiv Adj.</t>
  </si>
  <si>
    <t xml:space="preserve">”Stații de reîncărcare pentru vehicule electrice în municipiul Constanța (proiectare, execuție, furnizare și montaj)” </t>
  </si>
  <si>
    <t xml:space="preserve">”Modernizare rețea de transport public prin construire/ modificare/ reabilitare stații de transport în comun la capete de linii” </t>
  </si>
  <si>
    <t xml:space="preserve">”Elaborare Plan de Acțiune pentru Energie Durabilă și Climă (PAEDC) al municipiului Constanța” </t>
  </si>
  <si>
    <t>”Elaborare documentație tehnico-economică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40 Aurel Vlaicu, Constanța”</t>
  </si>
  <si>
    <t>”Parc urban în zona Faleză Nord”</t>
  </si>
  <si>
    <t>”Elaborare ghid estetică urbană în municipiul Constanța”</t>
  </si>
  <si>
    <t>”Extindere rețele edilitar - urbane”</t>
  </si>
  <si>
    <r>
      <t xml:space="preserve">                      </t>
    </r>
    <r>
      <rPr>
        <b/>
        <sz val="10.5"/>
        <rFont val="Times New Roman CE"/>
        <family val="0"/>
      </rPr>
      <t xml:space="preserve">                                   CAP.87 ALTE ACȚIUNI ECONOMICE</t>
    </r>
  </si>
  <si>
    <t>„Elaborare PUZ parcare supraetajată - Casa de Cultură, municipiul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</si>
  <si>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Grădinița cu program prelungit nr. 53,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</si>
  <si>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24 Ion Jalea,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</si>
  <si>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33 Anghel Saligny, Constanța”</t>
  </si>
  <si>
    <t>“Elaborarea documentației tehnico economice (studii de teren, expertiză tehnică, audit energetic, DALI, PT, PAC, avize, altele) aferentă proiectului Creșterea eficienței energetice a clădirilor rezidențiale din Municipiul Constanța, zona Casa de Cultură – blocurile L18, L19”</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</si>
  <si>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Liceul Teoretic ”Lucian Blaga”,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</si>
  <si>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37, Constanța”</t>
  </si>
  <si>
    <t>”Elaborarea documentației tehnico economice (studii de teren, expertiză tehnică, audit energetic, DALI, PT, PAC, avize, altele) aferentă proiectului Creșterea eficienței energetice a clădirilor rezidențiale din Municipiul Constanța, zona Casa de Cultură – blocurile L48, L49, L50”</t>
  </si>
  <si>
    <t>”Elaborarea documentației tehnico economice (studii de teren, expertiză tehnică, audit energetic, DALI, PT, PAC, avize, altele) aferentă proiectului Creșterea eficienței energetice a clădirilor rezidențiale din Municipiul Constanța, zona Casa de Cultură – blocurile L44, L46”</t>
  </si>
  <si>
    <t>”Elaborarea documentației tehnico economice (studii de teren, expertiză tehnică, audit energetic, DALI, PT, PAC, avize, altele) aferentă proiectului Creșterea eficienței energetice a clădirilor rezidențiale din Municipiul Constanța, zona Trocadero – blocurile LE31, LE32, LE33”</t>
  </si>
  <si>
    <t>”Elaborare documentație tehnico-economică aferentă obiectivului de investiții „Creșterea eficienței energetice a imobilului Spitalul Municipal, Constanta” (PT, DTAC,  avize, DTOE, DDE, CS , asistenţă tehnică din partea proiectantului, altele)”</t>
  </si>
  <si>
    <t>”Elaborarea documentației tehnico economice (studii de teren, expertiză tehnică, audit energetic, DALI, PT, PAC, avize, altele) aferentă proiectului ”Creșterea eficienței energetice a clădirilor rezidențiale din Municipiul Constanța, zona Tomis III – blocurile LE42, T7, L7”</t>
  </si>
  <si>
    <t>”Elaborarea documentației tehnico economice (studii de teren, expertiză tehnică, audit energetic, DALI, PT, PAC, avize, altele) aferentă proiectului Creșterea eficienței energetice a clădirilor rezidențiale din Municipiul Constanța, zona Soveja – blocurile FT4, FT3A, FT3B”</t>
  </si>
  <si>
    <t>”Elaborarea documentației tehnico economice (studii de teren, expertiză tehnică, audit energetic, DALI, PT, PAC, avize, altele) aferentă proiectului Creșterea eficienței energetice a clădirilor rezidențiale din Municipiul Constanța, zona Dacia  – bloc L1”</t>
  </si>
  <si>
    <t>Cota de cofinanțare aferentă municipiului Constanța pentru obiectivul ”Proiectul regional de dezvoltare a infrastructurii de apă și apă uzată în aria de operare a SC RAJA SA Constanta în perioada 2014 - 2020”</t>
  </si>
  <si>
    <t>”Elaborarea documentației tehnico economice (studii de teren, expertiză tehnică, audit energetic, DALI, PT, PAC, avize, altele) aferentă proiectului Reabilitare imobil Tomis 56”</t>
  </si>
  <si>
    <t>”Elaborarea documentației tehnico economice (studii de teren, expertiză tehnică, audit energetic, DALI, PT, PAC, avize, altele) aferentă proiectului Reabilitare imobil Tomis 54”</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</si>
  <si>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Grădinița cu program prelungit nr.45”</t>
  </si>
  <si>
    <t>”Reabilitarea, modernizarea și dotarea Liceului cu program sportiv "Nicolae Rotaru", Constanța ” (DDFE)</t>
  </si>
  <si>
    <t>„Actualizarea hărții strategice de zgomot pentru municipiul Constanța, aprobată prin HCL nr. 458/2018”</t>
  </si>
  <si>
    <t>”Reabilitarea, modernizarea și dotarea Grădiniței cu program prelungit ”AMICII”, Constanța” (DDFE)</t>
  </si>
  <si>
    <t>”Creșterea eficienței energetice a imobilului Școala Gimnazială nr. 38, Dimitrie Cantemir, Constanța” (DDFE)</t>
  </si>
  <si>
    <t>”Reabilitarea, modernizarea și dotarea Liceului Tehnologic Dimitrie Leonida, Constanța” (DDFE)</t>
  </si>
  <si>
    <t>”Reabilitarea, modernizarea și dotarea Grădiniței cu program prelungit MUGUREL, Constanța” (DDFE)</t>
  </si>
  <si>
    <t>”Reabilitarea, modernizarea și dotarea Liceului Tehnologic de Electrotehnică și Telecomunicații, Constanța” (DDFE)</t>
  </si>
  <si>
    <t>”Reabilitarea și modernizarea Creșei nr.2, Aleea Malinului nr.4, municipiul Constanța” (DDFE)</t>
  </si>
  <si>
    <t>”Creșterea eficienței energetice a imobilului Liceul Teoretic Traian, Constanța” (DDFE)</t>
  </si>
  <si>
    <t>"Realizare lucrări, modernizare și dotare în vederea obținerii autorizației de funcționare pentru Colegiul Comercial Carol I, str. Decebal nr. 15, municipiul Constanța" (DDFE)</t>
  </si>
  <si>
    <t>„Creșterea eficienței energetice a imobilului Liceul Teoretic Decebal, Constanta” (DDFE)</t>
  </si>
  <si>
    <t>”Creșterea eficienței energetice a imobilului Școala Gimnazială nr. 8, Constanța” (DDFE)</t>
  </si>
  <si>
    <t>„Creșterea eficienței energetice a imobilului Spitalul Municipal, Constanta” (DDFE)</t>
  </si>
  <si>
    <t>”Creșterea eficienței energetice a imobilului Teatrul de Stat, Constanta” cod SMIS 124052 (DDFE)</t>
  </si>
  <si>
    <t>”Lucrări pentru racordarea la utilități și lucrări tehnico – edilitare ”Sală sport Polivalentă 5000 locuri – zona Badea Cârțan”, inclusiv proiectare (DDFE)</t>
  </si>
  <si>
    <t>”Executia lucrarilor de reamenajare a locurilor de joaca existente in Municipiul Constanta” (DGGSP)</t>
  </si>
  <si>
    <t>”Lucrări, servicii, furnizare și montaj utilaje și echipamente necesare realizării interconectării sistemelor video locale ale unităților școlare la dispeceratul Poliției locale - în cadrul proiectului Safe City” (DDFE)</t>
  </si>
  <si>
    <t>”Execuție lucrări de amenajare teren aferente imobilului Cazino Constanța” (DDFE)</t>
  </si>
  <si>
    <t>”Extinderea rețelei electrice conform Ord 36/2019, de interes public, Cartier Veterani - sector 1.1, municipiul Constanța” (DGUP)</t>
  </si>
  <si>
    <t>”Extinderea rețelei electrice conform Ord 36/2019, de interes public, Cartier Veterani - sector 1.2, municipiul Constanța” (DGUP)</t>
  </si>
  <si>
    <t>”Incubator de afaceri Constanța” (DDFE)</t>
  </si>
  <si>
    <t>”Reabilitarea rețelelor termice primare/transport a energiei termice din municipiul Constanța - etapa I (execuție lucrări, inclusiv serviciul de proiectare)” (DGUP)</t>
  </si>
  <si>
    <t>”Reabilitarea rețelelor termice primare/transport a energiei termice din municipiul Constanța - etapa II (execuție lucrări, inclusiv serviciul de proiectare)” (DGUP)</t>
  </si>
  <si>
    <t>”Reabilitarea rețelelor de termoficare din municipiul Constanța - etapa III (execuție lucrări, inclusiv serviciul de proiectare - PAC, PT, DDE, asistență tehnică, altele)” (DGUP)</t>
  </si>
  <si>
    <t>”Îmbunătățirea mobilității în municipiul Constanța, între gara CFR și stațiunea Mamaia” (DDFE)</t>
  </si>
  <si>
    <t>”Lucrări de investiții și modernizare bd. Mamaia, sectorul cuprins între bd. Tomis și str. Soveja/Zorelelor, municipiul Constanța” (DGGSP)</t>
  </si>
  <si>
    <t>”Strada Alexandru Alexandridi - tronson str. Govora - str. Otopeni” (DGGSP)</t>
  </si>
  <si>
    <t>”Strada Prelungirea Eduard Caudella - tronson str. Rapsodiei - str. Constantin Bobescu” (DGGSP)</t>
  </si>
  <si>
    <t>"Reamenajarea integrata a zonei pietonale din centrul istoric al municipiului Constanța - etapa II" (DDFE)</t>
  </si>
  <si>
    <t>”Strada Cuarțului - etapa 1” (DGGSP)</t>
  </si>
  <si>
    <t>”Strada Opalului - etapa 1” (DGGSP)</t>
  </si>
  <si>
    <t>”Strada Safirului - etapa 1” (DGGSP)</t>
  </si>
  <si>
    <t>”Strada Agatului - etapa 1” (DGGSP)</t>
  </si>
  <si>
    <t>”Strada Ametistului - etapa 1” (DGGSP)</t>
  </si>
  <si>
    <t>”Strada Perlei - etapa 1” (DGGSP)</t>
  </si>
  <si>
    <t>”Strada Topazului - etapa 1” (DGGSP)</t>
  </si>
  <si>
    <t>”Strada Smaraldului - etapa 1” (DGGSP)</t>
  </si>
  <si>
    <t>”Strada Mareșal Al. Averescu - etapa 1” (DGGSP)</t>
  </si>
  <si>
    <t>”Strada Veteranilor - etapa 1” (DGGSP)</t>
  </si>
  <si>
    <t>”Strada General Lt. Mociulschi - etapa 1” (DGGSP)</t>
  </si>
  <si>
    <t>”Strada Lt. Col. Ion Jalea - etapa 1” (DGGSP)</t>
  </si>
  <si>
    <t xml:space="preserve">”Actualizarea Strategiei de Alimentare în sistem centralizat cu Energie Termică a municipiului Constanța” </t>
  </si>
  <si>
    <t>Club Sportiv Municipal Constanța</t>
  </si>
  <si>
    <t>”Echipamente informatice - pentru Club Sportiv Municipal Constanța”</t>
  </si>
  <si>
    <t>”Elaborare documentații tehnico-economică - faza Studiu de Fezabilitate (SF) privind obiectivul de investiții ”Regenerarea spațiilor verzi în zona Spitalului Județean - bd. Tomis intersecție cu strada Nicolae Iorga și bd. Tomis - în fața blocurilor A1, A2 și A3 din municipiul Constanța”</t>
  </si>
  <si>
    <t xml:space="preserve">”Elaborarea documentației tehnico - economică faza Studiu de fezabilitate (SF) privind ”Reabilitarea urbană a terenurilor situateîn zona Aleea Lupeni din municipiul Constanța prin amenajarea de locuri de parcare și spații verzi” și întocmirea documentațiilor topo - cadastrale în vederea exproprierii” </t>
  </si>
  <si>
    <t xml:space="preserve">”Proiectul - Sursă de producție energie utilă termică și electrică prin cogenerare de înaltă eficiență, în municipiul Constanța” </t>
  </si>
  <si>
    <t xml:space="preserve">”Construire/ modificare/ reabilitare stații de transport în comun din municipiul Constanța” </t>
  </si>
  <si>
    <t>”Reabilitarea și consolidarea malurilor lacului Tăbăcăriei” (elaborare documentație tehnico-economică DALI, PAC, PT, DDE, CS, documentații pentru obținerea avizelor/ acordurilor și asistență tehnică)</t>
  </si>
  <si>
    <t>”Elaborare PUZ -  Campus, municipiul Constanța”</t>
  </si>
  <si>
    <t>”Elaborarea documentației tehnico economice (studii de teren, expertiză tehnică, audit energetic, DALI, PT, PAC, avize, altele) aferentă proiectului ”Creșterea eficienței energetice a clădirilor rezidențiale din Municipiul Constanța, zona Centru - blocurile M1, S5, MK2, MK28, F1”</t>
  </si>
  <si>
    <t>”Elaborarea documentației tehnico economice (studii de teren, expertiză tehnică, audit energetic, DALI, PT, PAC, avize, altele) aferentă proiectului ”Creșterea eficienței energetice a clădirilor rezidențiale din Municipiul Constanța, zona Poarta 6 - blocul G2”</t>
  </si>
  <si>
    <t>”Elaborarea documentației tehnico economice (studii de teren, expertiză tehnică, audit energetic, DALI, PT, PAC, avize, altele) aferentă proiectului ”Creșterea eficienței energetice a clădirilor rezidențiale din Municipiul Constanța, zona Energia - blocul 75”</t>
  </si>
  <si>
    <t>”Elaborarea documentației tehnico economice (studii de teren, expertiză tehnică, audit energetic, DALI, PT, PAC, avize, altele) aferentă proiectului ”Creșterea eficienței energetice a clădirilor rezidențiale din Municipiul Constanța, zona KM5 - blocul 18B”</t>
  </si>
  <si>
    <t>”Elaborarea documentației tehnico economice (studii de teren, expertiză tehnică, audit energetic, DALI, PT, PAC, avize, altele) aferentă proiectului ”Creșterea eficienței energetice a clădirilor rezidențiale din Municipiul Constanța, zona Inel II - blocurile IV23, SR10, PN6”</t>
  </si>
  <si>
    <t>”Elaborarea documentației tehnico economice (studii de teren, expertiză tehnică, audit energetic, DALI, PT, PAC, avize, altele) aferentă proiectului ”Creșterea eficienței energetice a clădirilor rezidențiale din Municipiul Constanța, zona Abator - blocurile A4, A, S6”</t>
  </si>
  <si>
    <t>”Elaborarea documentației tehnico economice (studii de teren, expertiză tehnică, audit energetic, DALI, PT, PAC, avize, altele) aferentă proiectului ”Creșterea eficienței energetice a clădirilor rezidențiale din Municipiul Constanța, zona Gară - blocurile 80A, L4, L5, J2A, L61”</t>
  </si>
  <si>
    <t>”Elaborarea documentației tehnico economice (studii de teren, expertiză tehnică, audit energetic, DALI, PT, PAC, avize, altele) aferentă proiectului ”Creșterea eficienței energetice a clădirilor rezidențiale din Municipiul Constanța, zona Tomis III - blocurile TCIF, P3”</t>
  </si>
  <si>
    <t>”Elaborarea documentației tehnico economice (studii de teren, expertiză tehnică, audit energetic, DALI, PT, PAC, avize, altele) aferentă proiectului ”Creșterea eficienței energetice a clădirilor rezidențiale din Municipiul Constanța, zona Tomis Nord - blocul 4C”</t>
  </si>
  <si>
    <t>”Elaborare documentație tehnico-economică aferentă obiectivului de investiții "Reabilitare Școala gimnazială nr.7  Remus Opreanu, Constanța" (studii de teren, expertiza tehnica, audit energetic, DALI, PT, DTAC, avize, altele)”</t>
  </si>
  <si>
    <t>”Elaborare documentație tehnico-economice, faza de studiu de fezabilitate privind obiectivul de investiție ”Regenerarea spațiului verde în zona Parc Tăbăcăriei, pe malul lacului Tăbăcărie din Municipiul Constanța și din zona centrală, lângă Inspectoratul Teritorial de Muncă Constanța”</t>
  </si>
  <si>
    <r>
      <rPr>
        <b/>
        <sz val="10.5"/>
        <rFont val="Times New Roman CE"/>
        <family val="0"/>
      </rPr>
      <t>CAP.61 ORDINE PUBLICĂ ŞI SIGURANŢĂ NAŢIONALĂ</t>
    </r>
    <r>
      <rPr>
        <sz val="10.5"/>
        <rFont val="Times New Roman CE"/>
        <family val="0"/>
      </rPr>
      <t xml:space="preserve">  </t>
    </r>
  </si>
  <si>
    <t>”PUZ -  Marile Bulevarde”</t>
  </si>
  <si>
    <t>HCL nr. 107/2020; HCL nr. 350/08.08.2022</t>
  </si>
  <si>
    <t>”Lucrări de demolare a imobilului C2 situat în Constanța, bd. Ferdinand nr. 11 bis, inclusiv proiectarea în vederea demolării” (expertiză tehnică, PT, DTAD, AVIZE, ALTELE)</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</si>
  <si>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10 Mihail Koiciu,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</si>
  <si>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22 I. C. Brătianu,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</si>
  <si>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36 Dimitrie Știubei,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</si>
  <si>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Școala Gimnazială nr. 6 Nicolae Titulescu, Constanța”</t>
  </si>
  <si>
    <t>”Elaborare documentație tehnico-economică (audit energetic, expertiză tehnică, studii de teren – geotehnic și topografic, DALI, proiect tehnic pentru autorizarea lucrărilor, POE, PT și DE și altele) aferentă obiectivului de investiții ”Creșterea eficienței energetice a imobilului Liceul Teoretic George Călinescu, Constanța”</t>
  </si>
  <si>
    <t>”Elaborare documentație tehnico-economică (expertiză tehnică, studii de teren - geotehnic și topografic, DALI, proiect tehnic pentru autorizarea lucrărilor, POE, PT și DE și altele) aferentă obiectivului de investiții Creșterea eficienței energetice a imobilului Casa Căsătoriilor, Constanța”</t>
  </si>
  <si>
    <t>”Achiziția a 9 sirene electronice pentru alarmarea populației”</t>
  </si>
  <si>
    <t>HCL 168/30.05.2016, HCL 273/31.07.2019, HCL 236/2022</t>
  </si>
  <si>
    <t>”Elaborarea documentației tehnico economice (studii de teren, expertiză tehnică, audit energetic, DALI, PT, PAC, avize, altele) aferentă proiectului ”Creșterea eficienței energetice a clădirilor rezidențiale din Municipiul Constanța, zona Viile Noi - CET - blocurile I6, C4, ICH, ITA”</t>
  </si>
  <si>
    <t>”Elaborarea documentației tehnico economice (studiu topografic, DALI, PT, PAC, avize, altele) aferentă proiectului Creșterea eficienței energetice a clădirilor rezidențiale din Municipiul Constanța, zona Badea Cârțan – blocurile K11, K12”</t>
  </si>
  <si>
    <t>”Elaborarea documentației tehnico economice (studiu topografic, DALI, PT, PAC, avize, altele) aferentă proiectului Creșterea eficienței energetice a clădirilor rezidențiale din Municipiul Constanța, zona Badea Cârțan – blocurile K9, K10, K13, K14, K15”</t>
  </si>
  <si>
    <t>”Elaborare documentație tehnico-economică (studiu topografic, DALI, proiect tehnic pentru autorizarea lucrărilor, POE, PT și DE și altele) aferentă obiectivului de investiții ”Creșterea eficienței energetice a imobilului Liceul Tehnologic Tomis - corp Cantină și corp Ateliere”</t>
  </si>
  <si>
    <t>”Elaborare documentație tehnico-economică (studiu topografic, DALI, proiect tehnic pentru autorizarea lucrărilor, POE, PT și DE și altele) aferentă obiectivului de investiții ”Creșterea eficienței energetice a imobilului Liceul Tehnologic Tomis - corp Liceu”</t>
  </si>
  <si>
    <t>”Elaborare documentație tehnico-economică (analiza energetică, SF, proiect tehnic pentru autorizarea lucrărilor, POE, PT și DE și altele) aferentă proiectului ”Îmbunătățirea eficienței energetice și stimularea utilizării energiei regenerabile la nivelul UAT municipiul Constanța”</t>
  </si>
  <si>
    <t xml:space="preserve">”Elaborarea documentației tehnico economice (studii de teren, expertiză tehnică, audit energetic, DALI, PT, PAC, avize, altele) aferentă proiectului Creșterea eficienței energetice a clădirilor rezidențiale din Municipiul Constanța, zona Centru – blocurile R8, VILA CFR, SNC” </t>
  </si>
  <si>
    <t>”Elaborarea documentației tehnico economice (studii de teren, expertiză tehnică, audit energetic, DALI, PT, PAC, avize, altele) aferentă proiectului Creșterea eficienței energetice a clădirilor rezidențiale din Municipiul Constanța, zona Gară – blocurile B4, E3”</t>
  </si>
  <si>
    <t>”Elaborarea documentației tehnico economice (studii de teren, expertiză tehnică, audit energetic, DALI, PT, PAC, avize, altele) aferentă proiectului Creșterea eficienței energetice a clădirilor rezidențiale din Municipiul Constanța, zona Centru - bloc R5 și zona Gară - bloc C2”</t>
  </si>
  <si>
    <t>”Proiectare și execuție instalație utilizare gaze naturale, aferentă obiectivului de investiții Reabilitarea, modernizarea și dotarea Liceului cu Program Sportiv Nicolae Rotaru, Constanța”</t>
  </si>
  <si>
    <t>”Reamenajarea spațiului public din zona Parcului Gării” (DGGSP)</t>
  </si>
  <si>
    <t>HCL 384/31.08.2022</t>
  </si>
  <si>
    <t>”Reabilitarea urbană a terenului situat în zona strada Primăverii din municipiul Constanța, prin amenajarea de locuri de parcare și spații verzi”</t>
  </si>
  <si>
    <t>”Sistematizare și amenajare de spații verzi publice, parcări de reședință și dotări conexe între zona cimitir Anadalchioi și bl. 55, 57, 59 - strada Soveja - faza SF, PAC, PT, DDE”</t>
  </si>
  <si>
    <t>”Servicii de elaborare studii, consultanță și asistență tehnică pentru ”Înființare centre de colectare prin aport voluntar în municipiul Constanța”</t>
  </si>
  <si>
    <t>HCL 263/2022</t>
  </si>
  <si>
    <t>”Lucrări de intervenții și modernizare b-dul. Mamaia, pe sectorul cuprins între str. Soveja/Zorelelor și sensul giratoriu Pescărie intersecție cu Aleea Studenților, municipiul Constanța” (DGGSP)</t>
  </si>
  <si>
    <t>HCL 364/2021, HCL 420/2022</t>
  </si>
  <si>
    <t>”Proiectare și execuție desființare construcții existente pe amplasamentul ”Complexului Stadion Gheorghe Hagi” (DDFE)</t>
  </si>
  <si>
    <t>HCL 348/2021, HCL 349/2022, HCL 359/2022, HCL 441/2022</t>
  </si>
  <si>
    <t>”Servicii de arhitectură și de amenajare peisagistică pentru lucrări de intervenții și modernizare  pentru Parc Tăbăcărie, zona cuprinsă între Bd Al. Lăpușneanu - Sat Vacanță - Lac Tăbăcărie - City Mall”</t>
  </si>
  <si>
    <t>”Actualizare/Elaborare documentație tehnico-econimică (audit energetic, expertiză tehnică, DALI, proiect tehnic pentru autorizarea lucrărilor, POE, PT și DE  și altele, cerere de finanțare) aferentă obiectivului de investiții ”Reabilitarea, modernizarea și dotarea Liceului tehnologic de electrotehnică și telecomunicații - Corp cantină și internat”</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</si>
  <si>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14, Palazu Mare Constanța”</t>
  </si>
  <si>
    <t>”Îmbunătățirea mobilității în municipiul Constanța, zona bd. 1 Mai - Șoseaua Mangaliei” (DDFE)</t>
  </si>
  <si>
    <t>”Acces și mobilitate pietonală în zona centrală a municipiului Constanța”(DDFE)</t>
  </si>
  <si>
    <t>”Reabilitarea rețelelor termice secundare și contorizarea la nivel de scară pentru municipiul Constanța - etapa IV ” (DGUP)</t>
  </si>
  <si>
    <t>HCL 133/2022, HCL 154/2022, HCL 303/2022</t>
  </si>
  <si>
    <t>DINESCU FULVIA ANTONELA</t>
  </si>
  <si>
    <t>SECRETAR GENERAL DELEGAT</t>
  </si>
  <si>
    <t>SECRETAR GENERAL</t>
  </si>
  <si>
    <t>”Reabilitare pasarelă maritimă amplasată în Stațiunea Mamaia - Zona Hotel Victoria”</t>
  </si>
  <si>
    <t>”Lucrări de foraje pentru subtraversări bulevarde, străzi, alei pietonale din municipiul Constanța”</t>
  </si>
  <si>
    <t>”Reabilitare urbană a terenului situat în zona Aleea Murelor din municipiul Constanța prin amenajarea de locuri de parcare și spații verzi dotate cu loc de joacă”</t>
  </si>
  <si>
    <t>”Reabilitare urbană a terenului situat în strada Banu Mihalcea nr. 15 - 17 din municipiul Constanța prin amenajarea de locuri de parcare și spații verzi ”</t>
  </si>
  <si>
    <t>”Reamenajare spațiu public din zona Parc Poarta 6 (Faleză Sud)”</t>
  </si>
  <si>
    <t>”Reabilitare și consolidare a terenului din vecinătatea imobilului Biserica Greacă - Esplanada - Plaja Modern”</t>
  </si>
  <si>
    <t>”Construire promenadă pietonală cu pistă de biciclete, tronson cuprins între strada Lebedei și baza taluzului corespunzător intersecției strada Pușkin cu strada Mihai Eminescu”</t>
  </si>
  <si>
    <t>Proiecte PNRR</t>
  </si>
  <si>
    <t xml:space="preserve">                        NR. </t>
  </si>
  <si>
    <t>Lista obiectivelor de investiţii pe anul 2023</t>
  </si>
  <si>
    <t>Buget de stat</t>
  </si>
  <si>
    <t>Proiecte FEDR</t>
  </si>
  <si>
    <t xml:space="preserve">                   NR. </t>
  </si>
  <si>
    <t>Listă de studii și proiecte pe anul 2023</t>
  </si>
  <si>
    <t>Decontat pâna la 31.12. 2022</t>
  </si>
  <si>
    <t>Alocatie 2023, din care:</t>
  </si>
  <si>
    <t>Listă alte cheltuieli asimilate investițiilor pe anul 2023</t>
  </si>
  <si>
    <t>Listă de dotări independente şi utilaje pe anul 2023</t>
  </si>
  <si>
    <t>”Placă permanentă 0,8mx0,5m "Creșterea eficienței energetice a imobilului Școala Gimnazială nr. 8, Constanța"</t>
  </si>
  <si>
    <t>HCL 404/2020, HCL 557/2022</t>
  </si>
  <si>
    <t>Elaborare documentație tehnico-economica aferenta obiectivului de investitii "Cresterea eficientei energetice a imobilului Scoala Gimnaziala nr. 38, Dimitrie Cantemir, Constanta" (studii de teren, expertiza tehnica, audit energetic, DALI, PT, DTAC, avize, altele)  - certificat de performanță energetică</t>
  </si>
  <si>
    <t>Elaborare documentație tehnico-economica aferenta obiectivului de investitii "Cresterea eficientei energetice a imobilului Scoala Gimnaziala nr. 8, Constanta" (studii de teren, expertiza tehnica, audit energetic, DALI, PT, DTAC, avize, altele)- certificat de performanță energetică</t>
  </si>
  <si>
    <t>HCL 94/2019, HCL 105/2020, HCL 151/2021, HCL 422/2022</t>
  </si>
  <si>
    <t>HCL 203/2018, HCL 330/2019, HCL 188/2021, HCL 559/2022</t>
  </si>
  <si>
    <t>HCL 95/2019, HCL 234/2020, HCL 186/2021, HCL 561/2022</t>
  </si>
  <si>
    <t>HCL 106/2020, HCL 486/2022</t>
  </si>
  <si>
    <t xml:space="preserve"> Elaborare documentație tehnico-economică aferentă obiectivului de investiții „Creșterea eficienței energetice a imobilului Liceul Teoretic Traian, Constanta” (PT, DTAC,  avize, DTOE, DDE, CS, asistenţă tehnică din partea proiectantului, altele)- certificat de performanță energetică</t>
  </si>
  <si>
    <t>Elaborare documentație tehnico-economică aferentă obiectivului de investiții „Creșterea eficienței energetice a imobilului Liceul Teoretic Decebal, Constanta” (PT, DTAC,avize, DTOE, DDE, CS , asistență tehnică din partea proiectantului, altele)- certificat de performanță energetică</t>
  </si>
  <si>
    <t>”Panou temporar "Creșterea eficienței energetice a imobilului Liceul teoretic Decebal, Constanța"</t>
  </si>
  <si>
    <t xml:space="preserve">”Placă permanentă 1,5m x 2m proiect "Acces și mobilitate pietonală în zona centrală a municipiului Constanța" </t>
  </si>
  <si>
    <t>”Placă permanentă 1,5m x 2m proiect ”Îmbunătățirea mobilității în municipiul Constanța, zona bd. 1 Mai - Șoseaua Mangaliei”</t>
  </si>
  <si>
    <t>”Placă permanentă 1,5m x 2m proiect ”Îmbunătățirea mobilității în municipiul Constanța, între gara CFR și stațiunea Mamaia”</t>
  </si>
  <si>
    <t>”Placă permanentă proiect ”Achiziție mijloace de transport public - autobuze electrice 10m șes, Alexandria, Brăila, Constanța, Dr. Tr. Severin, Focșani, Slobozia”</t>
  </si>
  <si>
    <t>”10 plăci permanente proiect ”Reabilitarea rețelelor termice primare/transport a energiei termice din municipiul Constanța - etapa I ”</t>
  </si>
  <si>
    <t>”Panou temporar „Creșterea eficienței energetice a imobilului Liceul Teoretic Traian, Constanta”</t>
  </si>
  <si>
    <t xml:space="preserve">”Panou temporar 3m x 2m și placă permanentă proiect "Reamenajarea integrata a zonei pietonale din centrul istoric al municipiului Constanța - etapa II" </t>
  </si>
  <si>
    <t>”10 panouri temporare și 10 plăci permanente proiect ”Reabilitarea rețelelor termice primare/transport a energiei termice din municipiul Constanța - etapa II”</t>
  </si>
  <si>
    <t>”3 panouri temporare și 3 plăci permanente proiect ”Reabilitarea rețelelor de termoficare din municipiul Constanța - etapa III”</t>
  </si>
  <si>
    <t>”Creșterea eficienței energetice a imobilului Colegiul Național Pedagogic ”Constantin Brătescu”, Constanța” (DDFE)</t>
  </si>
  <si>
    <t>HCL  138/2022</t>
  </si>
  <si>
    <t>”Creșterea eficienței energetice a imobilului Liceul Tehnologic Tomis - corp Liceu” (DDFE)</t>
  </si>
  <si>
    <t>”Reabilitare clădire Colegiul Naţional Mihai Eminescu" (DDFE)</t>
  </si>
  <si>
    <t>"Reabilitare Școala gimnazială nr.7  Remus Opreanu, Constanța" (DDFE)</t>
  </si>
  <si>
    <t>”Reabilitarea, modernizarea și dotarea Grădiniței cu program prelungit LUMEA COPIILOR, Constanța” (DDFE)</t>
  </si>
  <si>
    <t>”Reabilitarea, modernizarea și dotarea Grădiniței cu program prelungit STELUȚELE MĂRII, Constanța”(DDFE)</t>
  </si>
  <si>
    <t>”Reabilitarea, modernizarea și dotarea Grădiniței cu program prelungit ”CĂSUȚA DE TURTĂ DULCE”, Constanța” (DDFE)</t>
  </si>
  <si>
    <t>”Creșterea eficienței energetice a imobilului Școala Gimnazială nr. 23, Constanța” (DDFE)</t>
  </si>
  <si>
    <t>”Creșterea eficienței energetice a imobilului Școala Gimnazială nr. 14, Palazu Mare Constanța” (DDFE)</t>
  </si>
  <si>
    <t>”Creșterea eficienței energetice a imobilului Grădinița cu program prelungit nr. 53, Constanța” (DDFE)</t>
  </si>
  <si>
    <t>”Creșterea eficienței energetice a imobilului Școala Gimnazială nr. 24 Ion Jalea, Constanța” (DDFE)</t>
  </si>
  <si>
    <t>„Creșterea eficienței energetice a imobilului Școala Gimnazială nr. 37, Constanța” (DDFE)</t>
  </si>
  <si>
    <t>”Creșterea eficienței energetice a imobilului Liceul Tehnologic Tomis - corp Cantină și corp Ateliere” (DDFE)</t>
  </si>
  <si>
    <t>”Creșterea eficienței energetice a clădirilor rezidențiale din Municipiul Constanța, zona Casa de Cultură – blocurile L48, L49, L50” (DDFE)</t>
  </si>
  <si>
    <t>”Creșterea eficienței energetice a clădirilor rezidențiale din Municipiul Constanța, zona Badea Cârțan – blocurile K9, K10, K13, K14, K15”(DDFE)</t>
  </si>
  <si>
    <t>”Creșterea eficienței energetice a clădirilor rezidențiale din Municipiul Constanța, zona Badea Cârțan – blocurile K11, K12” (DDFE)</t>
  </si>
  <si>
    <t>”Creșterea eficienței energetice a clădirilor rezidențiale din Municipiul Constanța, zona Soveja – blocurile FT4, FT3A, FT3B” (DDFE)</t>
  </si>
  <si>
    <t>”Reabilitare Școala Gimnazială nr. 16 Marin Ionescu Dobrogianu, Constanța” (DDFE)</t>
  </si>
  <si>
    <t>HCL 147/25.04.2018, HCL 62/28.02.2020, HCL 431/2021</t>
  </si>
  <si>
    <t>HCL  192/2022</t>
  </si>
  <si>
    <t>HCL  129/2022, HCL 366/2022</t>
  </si>
  <si>
    <t>HCL  139/2022</t>
  </si>
  <si>
    <t>HCL  127/2022</t>
  </si>
  <si>
    <t>HCL  131/2022, HCL 362/2022</t>
  </si>
  <si>
    <t>HCL  128/2022, HCL 363/2022</t>
  </si>
  <si>
    <t>HCL  132/2022, HCL 365/2022</t>
  </si>
  <si>
    <t>HCL  130/2022, HCL 367/2022</t>
  </si>
  <si>
    <t>HCL  148/2022, HCL 361/2022</t>
  </si>
  <si>
    <t>HCL  149/2022</t>
  </si>
  <si>
    <t>HCL  150/2022</t>
  </si>
  <si>
    <t>HCL  191/2022, HCL 364/2022</t>
  </si>
  <si>
    <t>””Creșterea eficienței energetice a imobilului Grădinița cu program prelungit nr.45” (DDFE)</t>
  </si>
  <si>
    <t>HCL  193/2022</t>
  </si>
  <si>
    <t>HCL  135/2022, HCL 368/2022</t>
  </si>
  <si>
    <t>HCL  136/2022</t>
  </si>
  <si>
    <t>HCL  137/2022, HCL 412/2022</t>
  </si>
  <si>
    <t>HCL  141/2022, HCL 369/2022</t>
  </si>
  <si>
    <t>”Elaborare documentatie tehnico-economica audit energetic, expertiză tehnică, studii de teren - geotehnic și topografic, DALI, proiect tehnic pentru autorizarea lucrărilor, POE, PT și DE și altele, cerere de finanțare) aferentă obiectivului de investitii "Creșterea eficienței energetice a imobilului Liceului Tehnologic Dimitrie Leonida, Constanta (corp liceu)"</t>
  </si>
  <si>
    <t>”Elaborare documentatie tehnico-economica audit energetic, expertiză tehnică, studii de teren - geotehnic și topografic, DALI, proiect tehnic pentru autorizarea lucrărilor, POE, PT și DE și altele, cerere de finanțare) aferentă obiectivului de investitii "Creșterea eficienței energetice a imobilului Liceului Tehnologic Dimitrie Leonida, Constanta (corp cămin )"</t>
  </si>
  <si>
    <t>”Elaborare studii de teren, avize, altele, pentru construire Săli de sport școlare în municipiul Constanța”</t>
  </si>
  <si>
    <t>”Elaborare documentație tehnico-economică a obiectivului de investiții ”Construire bază sportivă tip I - teren de fotbal cu 500 locuri, Bulevardul Aurel Vlaicu nr. 254, Constanța (studii de teren, avize, altele)”</t>
  </si>
  <si>
    <t>”Bazin de înot didactic și de agrement Bulevardul Aurel Vlaicu nr. 254, Constanța (studii de teren, avize, altele)”</t>
  </si>
  <si>
    <t>”Elaborare audit energetic (certificat de performanță energetică) aferent obiectivului de investiții Casa Societății Civile – reabilitare, modernizare si dotări (strada Nicolae Titulescu nr. 13)”</t>
  </si>
  <si>
    <t>„Elaborare documentații cadastrale a imobilelor situate in municipiul Constanta, aflate total/partial în administrarea A.F.I. SRL Constanța Constanta” - prin A.F.I. SRL Constanța</t>
  </si>
  <si>
    <t>A.F.I. SRL Constanța</t>
  </si>
  <si>
    <t xml:space="preserve"> A.F.I. SRL Constanța</t>
  </si>
  <si>
    <t>„Elaborare proiecte tehnice a imobilelor situate în municipiul Constanța, aflate total/parțial în administrarea A.F.I. SRL, expertize tehnice, ce necesită consolidare a structurii de rezistență pentru a fi exploatate în condiții de siguranță”  -prin A.F.I. SRL Constanța</t>
  </si>
  <si>
    <t>„Reamenajare și modernizare Piața Agroalimentară Brotăcei” prin A.F.I. SRL Constanța</t>
  </si>
  <si>
    <t>„Reamenajare și modernizare Piață Agroalimentară I.L. Caragiale” prin A.F.I. SRL Constanța</t>
  </si>
  <si>
    <t>„Reamenajare Piața Agroalimentară Pescăruș” prin A.F.I. SRL Constanța</t>
  </si>
  <si>
    <t>„Reamenajare Piața Agroalimentară Tic - Tac” prin A.F.I. SRL Constanța</t>
  </si>
  <si>
    <t>„Reconfigurare, modernizare și încadrarea într-un nou concept urban pentru municipiul Constanța al Pieței Agroalimentare Grivița” prin A.F.I. SRL Constanța</t>
  </si>
  <si>
    <t>„Reparații ale imobilului situat în Constanța, Aleea Egretei nr. 13 aflat în inventarul bunurilor aparținând domeniului privat al municipiului Constanța” în administrarea A.F.I. SRL Constanța</t>
  </si>
  <si>
    <t>„Reabilitare imobile aflate pe domeniul public si privat al Primariei municipiului Constanta prin A.F.I. SRL Constanța” - proiectare si executie”</t>
  </si>
  <si>
    <t>„Programul de expertizare tehnică a imobilelor situate în municipiul Constanța, aflate total/partial în administrarea A.F.I. SRL Constanța Constanta” - prin A.F.I. SRL Constanța</t>
  </si>
  <si>
    <t>”Construire imobil de birouri S+P+3E cu servicii/ comerț/ alimentație publică la parter - sediu Primărie municipiul Constanța”- studii și proiecte</t>
  </si>
  <si>
    <t>”Deviere instalații electrice, Îmbunătățire mobilitate urbană, Bd 1 Mai - șos. Mangaliei” (DGUP)</t>
  </si>
  <si>
    <t>HCL 506/2022</t>
  </si>
  <si>
    <t>„Studii de fezabilitate realizare sursă apă - 2 puțuri”</t>
  </si>
  <si>
    <t>”Studii de fezabilitate pentru extinderea rețelei electrice de interes public”</t>
  </si>
  <si>
    <t>”Reabilitarea rețelelor termice de termoficare - etapa 5”</t>
  </si>
  <si>
    <t>”Extindere și modernizare spații de depozitare clădire C2” - pentru Spitalul Clinic de Boli Infecțioase Constanța”</t>
  </si>
  <si>
    <t>”Proiect bazin tampon apă menajeră/ potabilă pentru Spitalul Clinic de Boli Infecțioase Constanța” - pentru Spitalul Clinic de Boli Infecțioase Constanța”</t>
  </si>
  <si>
    <t>”Sistem de pardoseală portabilă din parchet masiv de arțar certificat FIBA și IHF - pentru Club Sportiv Municipal Constanța”</t>
  </si>
  <si>
    <t>”Galeriile de artă - proiectare și execuție”</t>
  </si>
  <si>
    <t>”Arme, muniții și piese conexe”</t>
  </si>
  <si>
    <t>”Veste antiînjunghiere”</t>
  </si>
  <si>
    <t>”Achiziția a 23 cofrete inteligente pentru sirene electrice”</t>
  </si>
  <si>
    <t>”Realizare sistem informatic și portal gestiune documente” - Proiect SMART CT</t>
  </si>
  <si>
    <t xml:space="preserve">”Echipamente informatice (server back-office și front - office)- proiect Planificare strategică integrată și administrație publică eficientă la nivelul polului de creștere Zona Metropolitană Constanța” </t>
  </si>
  <si>
    <t xml:space="preserve">”Implementarea de module informatice privind serviciile gestionate partajat de către autoritățile publice locale aferente proiectului - proiect Planificare strategică integrată și administrație publică eficientă la nivelul polului de Creștere Zona Metropolitană Constanța” Sistem informatic Module Competențe Partajate - Modulul Urbanism și Amenajarea Teritoriului </t>
  </si>
  <si>
    <t>”Implementarea de module informatice privind serviciile gestionate partajat de către autoritățile publice locale aferente proiectului - proiect Planificare strategică integrată și administrație publică eficientă la nivelul polului de Creștere Zona Metropolitană Constanța”  - Sistem Informatic Module Competențe Partajate - Modulul Asistență Socială</t>
  </si>
  <si>
    <t>”Aplicație software - Voci pentru mâini - interpretare video la distanță”</t>
  </si>
  <si>
    <t>”Platformă online - Catalog electronic online”</t>
  </si>
  <si>
    <t>”Aplicație software gestionare arhivă digitală”</t>
  </si>
  <si>
    <t>”Sistem informatic în Cabinetele medicale școlare”</t>
  </si>
  <si>
    <t>”Sistem de detectare, semnalizare și alarmare la incendiu, cu montaj inclus pentru Centrul pentru persoane fără adăpost ”Sf. Filofteia”</t>
  </si>
  <si>
    <t>”Imprimantă multifuncțională pentru Direcția Protecție Socială, Serviciul Sprijin Comunitar și Evenimente Sociale”</t>
  </si>
  <si>
    <t>”14 Licențe Microsoft Office”</t>
  </si>
  <si>
    <t>”Îmbunătățirea mediului urban în zona Coiciu - Casa de Cultură” (DGGSP)</t>
  </si>
  <si>
    <t>HCL 259/2022</t>
  </si>
  <si>
    <t xml:space="preserve">”Execuția a 6 puțuri de apă de mică adâncime și realizarea automatizării puțurilor forate pentru alimentarea cu apă de irigiat și realizarea sistemelor de irigat” </t>
  </si>
  <si>
    <t>”Achiziționare stație de pompare modulară echipată pentru Parc Tăbăcărie, zona reabilitată (latura Lăpușneanu)”</t>
  </si>
  <si>
    <t>”Sistem integrat de acces auto în zonele pietonale (Sat Vacanță, Parc Tăbăcărie, Zona Peninsulară)”</t>
  </si>
  <si>
    <t>”Camere video cu sistem fotovoltaic, echipamente de stocare și vizionare”</t>
  </si>
  <si>
    <t>”Amenajare de locuri de joacă noi” - 18 locații</t>
  </si>
  <si>
    <t>”Concurs de soluții PARC DN3C Constanța” (și execuție)</t>
  </si>
  <si>
    <t>”Reabilitare urbană a terenului situat la intersecția bd. A. Lăpușneanu cu str. I. Gh. Duca, prin amenajare de spații verzi și dotări urbane”(proiectare și execuție)</t>
  </si>
  <si>
    <t>”Amenajare de locuri de joacă noi” - 7 locații</t>
  </si>
  <si>
    <t>”Amenajare de locuri de joacă noi” - 10 locații</t>
  </si>
  <si>
    <t>”Construire Piață cartier Faleză Nord”</t>
  </si>
  <si>
    <t>”Achiziție adăposturi modulare pentru stații de autobuze”(contract nou)</t>
  </si>
  <si>
    <t xml:space="preserve">”Construire bazin olimpic în municipiul Constanța” </t>
  </si>
  <si>
    <t>”Amenajare peisagistică și parcaje aferente zonei terenurilor de tenis din Cartierul Tomis Nord, Aleea Capidava/Aleea Argeș, municipiul Constanța” (DGGSP)</t>
  </si>
  <si>
    <t>HCL 381/2022</t>
  </si>
  <si>
    <t>”Elaborare documentație tehnico-economică (SF, DTAC, DTAA) pentru ”Creșterea accesibilității și fluidizarea traficului în vederea asigurării unei mobilități urbane durabile în perimetrul determinat de str. Baba Novac, str. Soveja, Str. Ștefăniță Vodă și bd. Aurel Vlaicu”</t>
  </si>
  <si>
    <t>HCL 309/2022</t>
  </si>
  <si>
    <t>”Elaborare documentație tehnico-economică (SF, DTAC, DTAA) pentru ”Extindere Șoseaua Industrială și conectarea la DN39E/A4, din municipiul Constanța”</t>
  </si>
  <si>
    <t>”Elaborare documentație tehnico-economică (SF, DTAC, DTAA) pentru ”Extinderea și amenajarea DC89(str. Amsterdam) și DN3C tronsonul cuprins între bd. Aurel Vlaicu și DC89”</t>
  </si>
  <si>
    <t xml:space="preserve">”Desființare și construire împrejmuire Cimitir Central” </t>
  </si>
  <si>
    <t xml:space="preserve">”Elaborare expertiză tehnică pentru taluz str. Traian” </t>
  </si>
  <si>
    <t>VLAESCU</t>
  </si>
  <si>
    <t>GEORGESCU</t>
  </si>
  <si>
    <t xml:space="preserve">”Amenajare integrată a zonei cuprinsă între accesul către Plaja Modern, strada Lebedei și taluz - Crearea de facilități pentru evenimente culturale și pentru petrecerea timpului liber, zone de promenadă și parcaje - elaborare documentație tehnico-economică în fazele PT, DDE, verificare tehnică și execuție” </t>
  </si>
  <si>
    <t>HCL 494/2022</t>
  </si>
  <si>
    <t>”Lucrări de intervenții și modernizare a intersecției bd. Mamaia cu bd. Aurel Vlaicu, municipiul Constanța” (DGGSP)</t>
  </si>
  <si>
    <t>HCL 493/2022</t>
  </si>
  <si>
    <t>HCL 271/2021, HCL 492/2022</t>
  </si>
  <si>
    <t>”Strada Păpădiei” (DGGSP)</t>
  </si>
  <si>
    <t>HCL 81/2022</t>
  </si>
  <si>
    <t>”Strada Salviei” (DGGSP)</t>
  </si>
  <si>
    <t>”Strada Socului” (DGGSP)</t>
  </si>
  <si>
    <t xml:space="preserve">”Actualizare strategie locale cu privire la dezvoltarea și funcționarea pe termen mediu și lung a serviciului de salubrizare în municipiul Constanța” </t>
  </si>
  <si>
    <t>”Elaborare studii topografice, aferente obiectivului de investiții privind ”Reconstrucția integrală a sistemului de iluminat public pe anumite bulevarde, străzi și parcuri ale municipiului Constanța”</t>
  </si>
  <si>
    <t>”Elaborare studii geotehnice, aferente obiectivului de investiții privind ”Reconstrucția integrală a sistemului de iluminat public pe anumite bulevarde, străzi și parcuri ale municipiului Constanța”</t>
  </si>
  <si>
    <t>”Elaborare documentație tehnico-economică faza SF - iluminat public, aferentă obiectivului de investiții privind ”Reconstrucția integrală a sistemului de iluminat public pe anumite bulevarde, străzi și parcuri ale municipiului Constanța”</t>
  </si>
  <si>
    <t>”Instalarea unui grup pompare apă menajeră/ potabilă pentru Spitalul Clinic de Boli Infecțioase Constanța”</t>
  </si>
  <si>
    <t>”Instalarea unui bazin tampon apă menajeră/ potabilă pentru Spitalul Clinic de Boli Infecțioase Constanța”</t>
  </si>
  <si>
    <t>”Consolidarea, reorganizarea, extinderea Spitalului Clinic de Boli Infecțioase din Constanța și eficientizarea energetică, ca urmare a incendiului din 01.10.2021”</t>
  </si>
  <si>
    <t>”Proiect tehnic și instalare punct tafo medie tensiune/joasa tensiune pentru spitalul modular și obținerea avizului de racordare" - pentru Spitalul Clinic de Boli Infecțioase Constanța</t>
  </si>
  <si>
    <t>”Mașină profesională de tocat carne (Cămin pentru persoane vârstnice)”</t>
  </si>
  <si>
    <t>”Elaborare documentatie tehnico-economică Studiu de Fezabilitate pentru obiectivul de investiții Rețea de canalizație subterană în municipiul Constanța - NET CITY”</t>
  </si>
  <si>
    <t>”Amenajări spații publice și construire totemuri situate la intrările în municipiul Constanța - proiectare generală (studiu topografic, studiu geotehnic, arhitectură, rezistență, instalații, peisagistică)”</t>
  </si>
  <si>
    <t>”PUZ - Zona de coastă a Mării Negre de la Pescărie la Portul Tomis”</t>
  </si>
  <si>
    <t>”Actualizare Plan Urbanistic General municipiul Constanța ”</t>
  </si>
  <si>
    <t>Redevență aferentă anului 2023 către SC RAJA SA pentru ”Programul de dezvoltare edilitară urbană a Municipiului Constanța - zona Faleză Nord Mun. Constanța”</t>
  </si>
  <si>
    <t>”Elaborare ghid/regulament de interventie pentru reabilitarea clădirilor din zonele protejate construite ale municipiului Constanța”</t>
  </si>
  <si>
    <t>”Elaborare PUD -  amenajare zonă losir - Port Tomis, municipiul Constanța”</t>
  </si>
  <si>
    <t>”Elaborare PUZ - Consolidare și regenerare urbană taluzuri, reglementare plaje aferente zona Constanța Nord”</t>
  </si>
  <si>
    <t>„Serviciu expertiză privind siguranța și stabilitatea terenului Plaja Modern - Pescărie”</t>
  </si>
  <si>
    <t>”Studiu de Fezabilitate pentru "Sursă de producție energie utilă termică și electrică prin cogenerare de înaltă eficiență, în municipiul Constanța” (studii de specialitate, avize, altele)</t>
  </si>
  <si>
    <t xml:space="preserve">”Studiu de Fezabilitate ”Sursă producție vârf în cadrul CET Palas” </t>
  </si>
  <si>
    <t>"Realizare strada/artera colectoare între str. Topazului si str. Rubinului din municipiul Constanta” (DGGSP)</t>
  </si>
  <si>
    <t>”Studii tehnice pentru fluidizarea circulatiei în perimetrul cuprins între sens giratoriu Hotel Oxford, bd. Al. Lăpușneanu și bd. Aurel Vlaicu, municipiul Constanța” (DGGSP)</t>
  </si>
  <si>
    <t>”Strada Comandor C-tin ”Bibi” Costachescu - etapa 1” (DGGSP)</t>
  </si>
  <si>
    <t>”Achiziția serviciilor de consultanță în vederea elaborării studiului privind necesitatea, oportunitatea și potențialul economic al investiției în ceea ce privește proiectul ”Construirea de insule ecologice digitalizate pentru colectarea selectivă a deșeurilor din municipiul Constanța”</t>
  </si>
  <si>
    <t>”Servicii de cartografie digitală a unor imobile proprietatea publică a municipiului Constanța, reprezentând cimitire”</t>
  </si>
  <si>
    <t>”Achiziție și montare echipamente de joacă” - în derulare</t>
  </si>
  <si>
    <t>”Reamenajarea spațiului public din zona Teatrului Național de Operă și Balet Oleg Danovski” (achiziția serviciilor de proiectare PAC, PT, DDE, CS, altele)</t>
  </si>
  <si>
    <t>”Elaborare documentație tehnico-economică aferentă obiectivului de investiții ”Amenajare spațiu public situat la intersecția str. Soveja cu str. Ștefăniță Vodă - amenajare peisagistică - parc Soveja și reconfigurare circulație - SF”</t>
  </si>
  <si>
    <t>”Elaborarea documentației tehnico - economică aferentă obiectivului de investiții ”Servicii de Urbanism, arhitectră și de design pentru Lucrări de investiții și modernizare pentru Parc ROTTERDAM, Parc Far, bd. Mamaia - segmentul cuprins între str. I Gh. Duca și str. Ion Rațiu”</t>
  </si>
  <si>
    <t>”Elaborare documentație tehnico-economică (modificare proiect tehnic, documentație privind aducerea sălii de spectacol a Teatrului de Stat Constanța la un nivel optim pentru desfășurarea reprezentațiilor artistice, studiu de consolidare/ restaurare/ punere în valoare a zidariei antice și altele) aferentă obiectivului de investiții ”Creșterea eficienței energetice a imobilului Teatrul de Stat Constanța”</t>
  </si>
  <si>
    <t>”Elaborare audit energetic (cetificat de performanță energetiă) pentru obiectivul de investiții ”Creșterea eficienței energetice a imobilului Teatrul de Stat Constanța”</t>
  </si>
  <si>
    <t>Elaborare certificat de performanţă energetică la finalizarea lucrărilor de reabililitare, modernizare și dotare a Liceului tehnologic de electrotehnică și telecomunicații Constanța"</t>
  </si>
  <si>
    <t>”Elaborare documentație tehnico-economică (studii de teren - geotehnic și topografic, studiu de trafic, SF, proiect tehnic pentru autorizarea lucrărilor, POE, PT și DE, altele, cerere de finanțare) aferentă obiectivului de investiții ”Achizitia de autobuze cu emisii de carbon scazute, destinate transportului public si crearea infrastructurii aferente - garaj CT BUS”</t>
  </si>
  <si>
    <t>”Achiziție mijloace de transport public - autobuze electrice 10m șes, Alexandria, Brăila, Constanța, Dr. Tr. Severin, Focșani, Slobozia: 21 autobuze electrice, 26 statii încărcare”</t>
  </si>
  <si>
    <t xml:space="preserve">                    NR. </t>
  </si>
  <si>
    <t>”Cuptor cu convecție și abur electric - pentru prepararea mâncărurilor (Cantină)”</t>
  </si>
  <si>
    <t>Denumirea obiectivului data începerii execuţiei (luna, anul) nr. si data aprobării</t>
  </si>
  <si>
    <t>Valoarea totală inițială</t>
  </si>
  <si>
    <t>Valoarea totală actualizată</t>
  </si>
  <si>
    <t>Total realizări la 31.12.2022</t>
  </si>
  <si>
    <t>Rest de executat</t>
  </si>
  <si>
    <t>Total alocații 2023 (col. 7+13)</t>
  </si>
  <si>
    <t>Nr. crt</t>
  </si>
  <si>
    <t xml:space="preserve"> Liceul Tehnologic PONTICA, Constanta</t>
  </si>
  <si>
    <t>Liceul Tehnologic PONTICA, Constanța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</si>
</sst>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127">
    <font>
      <sz val="10"/>
      <name val="Arial"/>
      <family val="0"/>
    </font>
    <font>
      <sz val="11"/>
      <color indexed="8"/>
      <name val="Calibri"/>
      <family val="2"/>
    </font>
    <font>
      <sz val="10"/>
      <name val="Balcan"/>
      <family val="0"/>
    </font>
    <font>
      <sz val="8"/>
      <name val="Arial"/>
      <family val="2"/>
    </font>
    <font>
      <b/>
      <sz val="10.5"/>
      <name val="Times New Roman CE"/>
      <family val="0"/>
    </font>
    <font>
      <sz val="9"/>
      <name val="Times New Roman CE"/>
      <family val="0"/>
    </font>
    <font>
      <b/>
      <u val="single"/>
      <sz val="10.5"/>
      <name val="Times New Roman CE"/>
      <family val="0"/>
    </font>
    <font>
      <b/>
      <sz val="11"/>
      <name val="Times New Roman CE"/>
      <family val="0"/>
    </font>
    <font>
      <sz val="10"/>
      <name val="Times New Roman CE"/>
      <family val="0"/>
    </font>
    <font>
      <b/>
      <sz val="10"/>
      <name val="Times New Roman CE"/>
      <family val="0"/>
    </font>
    <font>
      <b/>
      <sz val="14"/>
      <name val="Arial"/>
      <family val="2"/>
    </font>
    <font>
      <b/>
      <u val="single"/>
      <sz val="11"/>
      <name val="Times New Roman CE"/>
      <family val="0"/>
    </font>
    <font>
      <sz val="10.5"/>
      <name val="Times New Roman CE"/>
      <family val="0"/>
    </font>
    <font>
      <sz val="11"/>
      <name val="Times New Roman CE"/>
      <family val="0"/>
    </font>
    <font>
      <sz val="8"/>
      <name val="Times New Roman CE"/>
      <family val="0"/>
    </font>
    <font>
      <i/>
      <sz val="8"/>
      <name val="Times New Roman CE"/>
      <family val="0"/>
    </font>
    <font>
      <b/>
      <i/>
      <sz val="8"/>
      <name val="Times New Roman CE"/>
      <family val="0"/>
    </font>
    <font>
      <sz val="9.5"/>
      <name val="Times New Roman CE"/>
      <family val="0"/>
    </font>
    <font>
      <b/>
      <sz val="9"/>
      <name val="Times New Roman CE"/>
      <family val="0"/>
    </font>
    <font>
      <b/>
      <u val="single"/>
      <sz val="16"/>
      <name val="Times New Roman CE"/>
      <family val="0"/>
    </font>
    <font>
      <b/>
      <sz val="12"/>
      <name val="Times New Roman CE"/>
      <family val="0"/>
    </font>
    <font>
      <i/>
      <sz val="9"/>
      <name val="Times New Roman CE"/>
      <family val="0"/>
    </font>
    <font>
      <b/>
      <sz val="9.5"/>
      <name val="Times New Roman CE"/>
      <family val="0"/>
    </font>
    <font>
      <sz val="12"/>
      <name val="Times New Roman CE"/>
      <family val="0"/>
    </font>
    <font>
      <b/>
      <u val="double"/>
      <sz val="12"/>
      <name val="Times New Roman CE"/>
      <family val="0"/>
    </font>
    <font>
      <b/>
      <u val="double"/>
      <sz val="11"/>
      <name val="Times New Roman CE"/>
      <family val="0"/>
    </font>
    <font>
      <b/>
      <sz val="8"/>
      <name val="Times New Roman CE"/>
      <family val="0"/>
    </font>
    <font>
      <sz val="7.5"/>
      <name val="Times New Roman CE"/>
      <family val="0"/>
    </font>
    <font>
      <i/>
      <sz val="11"/>
      <name val="Times New Roman CE"/>
      <family val="0"/>
    </font>
    <font>
      <b/>
      <i/>
      <sz val="10.5"/>
      <name val="Times New Roman CE"/>
      <family val="0"/>
    </font>
    <font>
      <i/>
      <sz val="10.5"/>
      <name val="Times New Roman CE"/>
      <family val="0"/>
    </font>
    <font>
      <b/>
      <u val="single"/>
      <sz val="10"/>
      <name val="Times New Roman CE"/>
      <family val="0"/>
    </font>
    <font>
      <b/>
      <u val="single"/>
      <sz val="9"/>
      <name val="Times New Roman CE"/>
      <family val="0"/>
    </font>
    <font>
      <u val="single"/>
      <sz val="8"/>
      <name val="Times New Roman CE"/>
      <family val="0"/>
    </font>
    <font>
      <u val="single"/>
      <sz val="16"/>
      <name val="Times New Roman CE"/>
      <family val="0"/>
    </font>
    <font>
      <sz val="7"/>
      <name val="Times New Roman CE"/>
      <family val="0"/>
    </font>
    <font>
      <sz val="10.5"/>
      <name val="Times New Roman"/>
      <family val="1"/>
    </font>
    <font>
      <sz val="11"/>
      <name val="Times New Roman"/>
      <family val="1"/>
    </font>
    <font>
      <b/>
      <i/>
      <sz val="9"/>
      <name val="Times New Roman CE"/>
      <family val="0"/>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5"/>
      <color indexed="9"/>
      <name val="Times New Roman CE"/>
      <family val="0"/>
    </font>
    <font>
      <sz val="10"/>
      <color indexed="10"/>
      <name val="Arial"/>
      <family val="2"/>
    </font>
    <font>
      <sz val="11"/>
      <color indexed="9"/>
      <name val="Times New Roman CE"/>
      <family val="0"/>
    </font>
    <font>
      <sz val="9.5"/>
      <color indexed="9"/>
      <name val="Times New Roman CE"/>
      <family val="0"/>
    </font>
    <font>
      <b/>
      <sz val="11"/>
      <color indexed="10"/>
      <name val="Times New Roman CE"/>
      <family val="0"/>
    </font>
    <font>
      <sz val="11"/>
      <color indexed="10"/>
      <name val="Times New Roman CE"/>
      <family val="0"/>
    </font>
    <font>
      <sz val="9.5"/>
      <color indexed="10"/>
      <name val="Times New Roman CE"/>
      <family val="0"/>
    </font>
    <font>
      <sz val="8"/>
      <color indexed="10"/>
      <name val="Times New Roman CE"/>
      <family val="0"/>
    </font>
    <font>
      <b/>
      <sz val="8"/>
      <color indexed="10"/>
      <name val="Times New Roman CE"/>
      <family val="0"/>
    </font>
    <font>
      <b/>
      <sz val="12"/>
      <color indexed="10"/>
      <name val="Times New Roman CE"/>
      <family val="0"/>
    </font>
    <font>
      <sz val="10"/>
      <color indexed="10"/>
      <name val="Times New Roman CE"/>
      <family val="0"/>
    </font>
    <font>
      <b/>
      <sz val="9"/>
      <color indexed="9"/>
      <name val="Times New Roman CE"/>
      <family val="0"/>
    </font>
    <font>
      <b/>
      <sz val="11"/>
      <color indexed="9"/>
      <name val="Times New Roman CE"/>
      <family val="0"/>
    </font>
    <font>
      <b/>
      <sz val="10.5"/>
      <color indexed="9"/>
      <name val="Times New Roman CE"/>
      <family val="0"/>
    </font>
    <font>
      <sz val="10.5"/>
      <color indexed="10"/>
      <name val="Times New Roman CE"/>
      <family val="0"/>
    </font>
    <font>
      <sz val="8"/>
      <color indexed="9"/>
      <name val="Times New Roman CE"/>
      <family val="0"/>
    </font>
    <font>
      <sz val="9"/>
      <color indexed="9"/>
      <name val="Times New Roman CE"/>
      <family val="0"/>
    </font>
    <font>
      <b/>
      <sz val="12"/>
      <color indexed="9"/>
      <name val="Times New Roman CE"/>
      <family val="0"/>
    </font>
    <font>
      <sz val="12"/>
      <color indexed="9"/>
      <name val="Times New Roman CE"/>
      <family val="0"/>
    </font>
    <font>
      <sz val="10"/>
      <color indexed="9"/>
      <name val="Times New Roman CE"/>
      <family val="0"/>
    </font>
    <font>
      <sz val="10"/>
      <color indexed="9"/>
      <name val="Verdana"/>
      <family val="2"/>
    </font>
    <font>
      <sz val="11"/>
      <color indexed="9"/>
      <name val="Times New Roman"/>
      <family val="1"/>
    </font>
    <font>
      <sz val="10"/>
      <color indexed="8"/>
      <name val="Arial CE"/>
      <family val="0"/>
    </font>
    <font>
      <b/>
      <sz val="14"/>
      <color indexed="8"/>
      <name val="Times New Roman CE"/>
      <family val="0"/>
    </font>
    <font>
      <sz val="10"/>
      <color indexed="8"/>
      <name val="Times New Roman CE"/>
      <family val="0"/>
    </font>
    <font>
      <b/>
      <sz val="10"/>
      <color indexed="8"/>
      <name val="Times New Roman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5"/>
      <color theme="0"/>
      <name val="Times New Roman CE"/>
      <family val="0"/>
    </font>
    <font>
      <sz val="10"/>
      <color rgb="FFFF0000"/>
      <name val="Arial"/>
      <family val="2"/>
    </font>
    <font>
      <sz val="11"/>
      <color theme="0"/>
      <name val="Times New Roman CE"/>
      <family val="0"/>
    </font>
    <font>
      <sz val="9.5"/>
      <color theme="0"/>
      <name val="Times New Roman CE"/>
      <family val="0"/>
    </font>
    <font>
      <b/>
      <sz val="11"/>
      <color rgb="FFFF0000"/>
      <name val="Times New Roman CE"/>
      <family val="0"/>
    </font>
    <font>
      <sz val="11"/>
      <color rgb="FFFF0000"/>
      <name val="Times New Roman CE"/>
      <family val="0"/>
    </font>
    <font>
      <sz val="9.5"/>
      <color rgb="FFFF0000"/>
      <name val="Times New Roman CE"/>
      <family val="0"/>
    </font>
    <font>
      <sz val="8"/>
      <color rgb="FFFF0000"/>
      <name val="Times New Roman CE"/>
      <family val="0"/>
    </font>
    <font>
      <b/>
      <sz val="8"/>
      <color rgb="FFFF0000"/>
      <name val="Times New Roman CE"/>
      <family val="0"/>
    </font>
    <font>
      <b/>
      <sz val="12"/>
      <color rgb="FFFF0000"/>
      <name val="Times New Roman CE"/>
      <family val="0"/>
    </font>
    <font>
      <sz val="10"/>
      <color rgb="FFFF0000"/>
      <name val="Times New Roman CE"/>
      <family val="0"/>
    </font>
    <font>
      <b/>
      <sz val="9"/>
      <color theme="0"/>
      <name val="Times New Roman CE"/>
      <family val="0"/>
    </font>
    <font>
      <b/>
      <sz val="11"/>
      <color theme="0"/>
      <name val="Times New Roman CE"/>
      <family val="0"/>
    </font>
    <font>
      <b/>
      <sz val="10.5"/>
      <color theme="0"/>
      <name val="Times New Roman CE"/>
      <family val="0"/>
    </font>
    <font>
      <sz val="10.5"/>
      <color rgb="FFFF0000"/>
      <name val="Times New Roman CE"/>
      <family val="0"/>
    </font>
    <font>
      <sz val="8"/>
      <color theme="0"/>
      <name val="Times New Roman CE"/>
      <family val="0"/>
    </font>
    <font>
      <sz val="9"/>
      <color theme="0"/>
      <name val="Times New Roman CE"/>
      <family val="0"/>
    </font>
    <font>
      <b/>
      <sz val="12"/>
      <color theme="0"/>
      <name val="Times New Roman CE"/>
      <family val="0"/>
    </font>
    <font>
      <sz val="12"/>
      <color theme="0"/>
      <name val="Times New Roman CE"/>
      <family val="0"/>
    </font>
    <font>
      <sz val="10"/>
      <color theme="0"/>
      <name val="Times New Roman CE"/>
      <family val="0"/>
    </font>
    <font>
      <sz val="10"/>
      <color theme="0"/>
      <name val="Verdana"/>
      <family val="2"/>
    </font>
    <font>
      <sz val="11"/>
      <color theme="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thin"/>
      <top/>
      <bottom style="thin"/>
    </border>
    <border>
      <left/>
      <right/>
      <top style="thin"/>
      <bottom/>
    </border>
    <border>
      <left style="thin"/>
      <right style="thin"/>
      <top style="medium"/>
      <bottom style="medium"/>
    </border>
    <border>
      <left style="thin"/>
      <right/>
      <top style="medium"/>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border>
    <border>
      <left style="thin"/>
      <right style="thin"/>
      <top style="medium"/>
      <bottom style="thin"/>
    </border>
    <border>
      <left style="thin"/>
      <right style="medium"/>
      <top style="medium"/>
      <bottom style="thin"/>
    </border>
    <border>
      <left style="medium"/>
      <right style="thin"/>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462">
    <xf numFmtId="0" fontId="0" fillId="0" borderId="0" xfId="0" applyAlignment="1">
      <alignment/>
    </xf>
    <xf numFmtId="0" fontId="10" fillId="0" borderId="0" xfId="0" applyFont="1" applyBorder="1" applyAlignment="1">
      <alignment/>
    </xf>
    <xf numFmtId="2" fontId="10" fillId="0" borderId="10" xfId="0" applyNumberFormat="1" applyFont="1" applyBorder="1" applyAlignment="1">
      <alignment horizontal="left" vertical="top"/>
    </xf>
    <xf numFmtId="0" fontId="10" fillId="0" borderId="11" xfId="0" applyFont="1" applyBorder="1" applyAlignment="1">
      <alignment/>
    </xf>
    <xf numFmtId="0" fontId="10" fillId="0" borderId="12" xfId="0" applyFont="1" applyBorder="1" applyAlignment="1">
      <alignment/>
    </xf>
    <xf numFmtId="2" fontId="10" fillId="0" borderId="10" xfId="0" applyNumberFormat="1" applyFont="1" applyBorder="1" applyAlignment="1">
      <alignment/>
    </xf>
    <xf numFmtId="0" fontId="10" fillId="0" borderId="13" xfId="0" applyFont="1" applyBorder="1" applyAlignment="1">
      <alignment/>
    </xf>
    <xf numFmtId="16" fontId="10" fillId="0" borderId="13" xfId="0" applyNumberFormat="1" applyFont="1" applyBorder="1" applyAlignment="1" quotePrefix="1">
      <alignment/>
    </xf>
    <xf numFmtId="17" fontId="10" fillId="0" borderId="13" xfId="0" applyNumberFormat="1" applyFont="1" applyBorder="1" applyAlignment="1" quotePrefix="1">
      <alignment/>
    </xf>
    <xf numFmtId="0" fontId="10" fillId="0" borderId="10" xfId="0" applyFont="1" applyBorder="1" applyAlignment="1">
      <alignment/>
    </xf>
    <xf numFmtId="3" fontId="13" fillId="33" borderId="0" xfId="59" applyNumberFormat="1" applyFont="1" applyFill="1" applyBorder="1" applyAlignment="1">
      <alignment vertical="center"/>
      <protection/>
    </xf>
    <xf numFmtId="3" fontId="13" fillId="33" borderId="13" xfId="59" applyNumberFormat="1" applyFont="1" applyFill="1" applyBorder="1" applyAlignment="1">
      <alignment vertical="center"/>
      <protection/>
    </xf>
    <xf numFmtId="0" fontId="8" fillId="33" borderId="0" xfId="61" applyFont="1" applyFill="1" applyAlignment="1">
      <alignment vertical="center"/>
      <protection/>
    </xf>
    <xf numFmtId="0" fontId="13" fillId="33" borderId="0" xfId="61" applyFont="1" applyFill="1" applyAlignment="1">
      <alignment vertical="center"/>
      <protection/>
    </xf>
    <xf numFmtId="3" fontId="7" fillId="33" borderId="0" xfId="61" applyNumberFormat="1" applyFont="1" applyFill="1" applyBorder="1" applyAlignment="1">
      <alignment horizontal="right" vertical="center" wrapText="1"/>
      <protection/>
    </xf>
    <xf numFmtId="3" fontId="12" fillId="33" borderId="0" xfId="60" applyNumberFormat="1" applyFont="1" applyFill="1" applyAlignment="1">
      <alignment vertical="center"/>
      <protection/>
    </xf>
    <xf numFmtId="3" fontId="17" fillId="33" borderId="0" xfId="0" applyNumberFormat="1" applyFont="1" applyFill="1" applyAlignment="1">
      <alignment vertical="center"/>
    </xf>
    <xf numFmtId="3" fontId="22" fillId="33" borderId="0" xfId="0" applyNumberFormat="1" applyFont="1" applyFill="1" applyAlignment="1">
      <alignment vertical="center"/>
    </xf>
    <xf numFmtId="3" fontId="4" fillId="33" borderId="0" xfId="60" applyNumberFormat="1" applyFont="1" applyFill="1" applyAlignment="1">
      <alignment vertical="center"/>
      <protection/>
    </xf>
    <xf numFmtId="3" fontId="23" fillId="33" borderId="0" xfId="59" applyNumberFormat="1" applyFont="1" applyFill="1" applyBorder="1" applyAlignment="1">
      <alignment vertical="center"/>
      <protection/>
    </xf>
    <xf numFmtId="3" fontId="22" fillId="33" borderId="0" xfId="59" applyNumberFormat="1" applyFont="1" applyFill="1" applyBorder="1" applyAlignment="1">
      <alignment vertical="center"/>
      <protection/>
    </xf>
    <xf numFmtId="3" fontId="23" fillId="33" borderId="0" xfId="59" applyNumberFormat="1" applyFont="1" applyFill="1" applyAlignment="1">
      <alignment horizontal="center" vertical="center"/>
      <protection/>
    </xf>
    <xf numFmtId="3" fontId="25" fillId="33" borderId="0" xfId="59" applyNumberFormat="1" applyFont="1" applyFill="1" applyBorder="1" applyAlignment="1">
      <alignment horizontal="center" vertical="center"/>
      <protection/>
    </xf>
    <xf numFmtId="3" fontId="7" fillId="33" borderId="0" xfId="59" applyNumberFormat="1" applyFont="1" applyFill="1" applyBorder="1" applyAlignment="1">
      <alignment horizontal="left" vertical="center"/>
      <protection/>
    </xf>
    <xf numFmtId="3" fontId="13" fillId="33" borderId="0" xfId="59" applyNumberFormat="1" applyFont="1" applyFill="1" applyAlignment="1">
      <alignment horizontal="right" vertical="center"/>
      <protection/>
    </xf>
    <xf numFmtId="0" fontId="20" fillId="33" borderId="0" xfId="59" applyFont="1" applyFill="1" applyAlignment="1">
      <alignment horizontal="center" vertical="center"/>
      <protection/>
    </xf>
    <xf numFmtId="0" fontId="7" fillId="33" borderId="0" xfId="59" applyFont="1" applyFill="1" applyBorder="1" applyAlignment="1">
      <alignment horizontal="center" vertical="center"/>
      <protection/>
    </xf>
    <xf numFmtId="3" fontId="7" fillId="33" borderId="13" xfId="59" applyNumberFormat="1" applyFont="1" applyFill="1" applyBorder="1" applyAlignment="1">
      <alignment vertical="center"/>
      <protection/>
    </xf>
    <xf numFmtId="3" fontId="20" fillId="33" borderId="0" xfId="59" applyNumberFormat="1" applyFont="1" applyFill="1" applyBorder="1" applyAlignment="1">
      <alignment horizontal="center" vertical="center"/>
      <protection/>
    </xf>
    <xf numFmtId="0" fontId="7" fillId="33" borderId="0" xfId="59" applyFont="1" applyFill="1" applyAlignment="1">
      <alignment horizontal="center" vertical="center"/>
      <protection/>
    </xf>
    <xf numFmtId="3" fontId="8" fillId="33" borderId="0" xfId="59" applyNumberFormat="1" applyFont="1" applyFill="1" applyBorder="1" applyAlignment="1">
      <alignment horizontal="center" vertical="center"/>
      <protection/>
    </xf>
    <xf numFmtId="3" fontId="5" fillId="33" borderId="0" xfId="59" applyNumberFormat="1" applyFont="1" applyFill="1" applyBorder="1" applyAlignment="1">
      <alignment vertical="center"/>
      <protection/>
    </xf>
    <xf numFmtId="3" fontId="8" fillId="33" borderId="0" xfId="59" applyNumberFormat="1" applyFont="1" applyFill="1" applyBorder="1" applyAlignment="1">
      <alignment horizontal="right" vertical="center"/>
      <protection/>
    </xf>
    <xf numFmtId="3" fontId="14" fillId="33" borderId="0" xfId="59" applyNumberFormat="1" applyFont="1" applyFill="1" applyBorder="1" applyAlignment="1">
      <alignment horizontal="right" vertical="center"/>
      <protection/>
    </xf>
    <xf numFmtId="3" fontId="13" fillId="33" borderId="0" xfId="59" applyNumberFormat="1" applyFont="1" applyFill="1" applyBorder="1" applyAlignment="1">
      <alignment horizontal="left" vertical="center"/>
      <protection/>
    </xf>
    <xf numFmtId="3" fontId="26" fillId="33" borderId="0" xfId="59" applyNumberFormat="1" applyFont="1" applyFill="1" applyBorder="1" applyAlignment="1">
      <alignment horizontal="right" vertical="center"/>
      <protection/>
    </xf>
    <xf numFmtId="3" fontId="20" fillId="33" borderId="0" xfId="59" applyNumberFormat="1" applyFont="1" applyFill="1" applyBorder="1" applyAlignment="1">
      <alignment vertical="center"/>
      <protection/>
    </xf>
    <xf numFmtId="3" fontId="21" fillId="33" borderId="0" xfId="59" applyNumberFormat="1" applyFont="1" applyFill="1" applyBorder="1" applyAlignment="1">
      <alignment horizontal="center" vertical="center"/>
      <protection/>
    </xf>
    <xf numFmtId="3" fontId="21" fillId="33" borderId="0" xfId="59" applyNumberFormat="1" applyFont="1" applyFill="1" applyBorder="1" applyAlignment="1">
      <alignment vertical="center"/>
      <protection/>
    </xf>
    <xf numFmtId="0" fontId="21" fillId="33" borderId="0" xfId="59" applyFont="1" applyFill="1" applyBorder="1" applyAlignment="1">
      <alignment vertical="center"/>
      <protection/>
    </xf>
    <xf numFmtId="0" fontId="21" fillId="33" borderId="0" xfId="59" applyFont="1" applyFill="1" applyBorder="1" applyAlignment="1">
      <alignment horizontal="right" vertical="center"/>
      <protection/>
    </xf>
    <xf numFmtId="3" fontId="21" fillId="33" borderId="14" xfId="59" applyNumberFormat="1" applyFont="1" applyFill="1" applyBorder="1" applyAlignment="1">
      <alignment horizontal="center" vertical="center"/>
      <protection/>
    </xf>
    <xf numFmtId="3" fontId="21" fillId="33" borderId="15" xfId="59" applyNumberFormat="1" applyFont="1" applyFill="1" applyBorder="1" applyAlignment="1">
      <alignment horizontal="center" vertical="center"/>
      <protection/>
    </xf>
    <xf numFmtId="3" fontId="7" fillId="33" borderId="0" xfId="59" applyNumberFormat="1" applyFont="1" applyFill="1" applyBorder="1" applyAlignment="1">
      <alignment horizontal="center" vertical="center"/>
      <protection/>
    </xf>
    <xf numFmtId="3" fontId="7" fillId="33" borderId="13" xfId="59" applyNumberFormat="1" applyFont="1" applyFill="1" applyBorder="1" applyAlignment="1">
      <alignment horizontal="right" vertical="center"/>
      <protection/>
    </xf>
    <xf numFmtId="3" fontId="23" fillId="33" borderId="0" xfId="59" applyNumberFormat="1" applyFont="1" applyFill="1" applyBorder="1" applyAlignment="1">
      <alignment horizontal="center" vertical="center"/>
      <protection/>
    </xf>
    <xf numFmtId="3" fontId="13" fillId="33" borderId="0" xfId="59" applyNumberFormat="1" applyFont="1" applyFill="1" applyBorder="1" applyAlignment="1">
      <alignment horizontal="right" vertical="center"/>
      <protection/>
    </xf>
    <xf numFmtId="3" fontId="7" fillId="33" borderId="16" xfId="59" applyNumberFormat="1" applyFont="1" applyFill="1" applyBorder="1" applyAlignment="1">
      <alignment horizontal="center" vertical="center"/>
      <protection/>
    </xf>
    <xf numFmtId="3" fontId="7" fillId="33" borderId="17" xfId="59" applyNumberFormat="1" applyFont="1" applyFill="1" applyBorder="1" applyAlignment="1">
      <alignment horizontal="center" vertical="center"/>
      <protection/>
    </xf>
    <xf numFmtId="3" fontId="7" fillId="33" borderId="18" xfId="59" applyNumberFormat="1" applyFont="1" applyFill="1" applyBorder="1" applyAlignment="1">
      <alignment horizontal="right" vertical="center"/>
      <protection/>
    </xf>
    <xf numFmtId="3" fontId="18" fillId="33" borderId="0" xfId="59" applyNumberFormat="1" applyFont="1" applyFill="1" applyBorder="1" applyAlignment="1">
      <alignment vertical="center"/>
      <protection/>
    </xf>
    <xf numFmtId="3" fontId="15" fillId="33" borderId="0" xfId="59" applyNumberFormat="1" applyFont="1" applyFill="1" applyBorder="1" applyAlignment="1">
      <alignment horizontal="right" vertical="center"/>
      <protection/>
    </xf>
    <xf numFmtId="3" fontId="15" fillId="33" borderId="0" xfId="59" applyNumberFormat="1" applyFont="1" applyFill="1" applyBorder="1" applyAlignment="1">
      <alignment vertical="center"/>
      <protection/>
    </xf>
    <xf numFmtId="3" fontId="24" fillId="33" borderId="0" xfId="59" applyNumberFormat="1" applyFont="1" applyFill="1" applyBorder="1" applyAlignment="1">
      <alignment horizontal="center" vertical="center"/>
      <protection/>
    </xf>
    <xf numFmtId="3" fontId="16" fillId="33" borderId="0" xfId="59" applyNumberFormat="1" applyFont="1" applyFill="1" applyBorder="1" applyAlignment="1">
      <alignment horizontal="right" vertical="center"/>
      <protection/>
    </xf>
    <xf numFmtId="3" fontId="16" fillId="33" borderId="0" xfId="59" applyNumberFormat="1" applyFont="1" applyFill="1" applyBorder="1" applyAlignment="1">
      <alignment vertical="center"/>
      <protection/>
    </xf>
    <xf numFmtId="3" fontId="17" fillId="33" borderId="0" xfId="59" applyNumberFormat="1" applyFont="1" applyFill="1" applyBorder="1" applyAlignment="1">
      <alignment vertical="center"/>
      <protection/>
    </xf>
    <xf numFmtId="3" fontId="13" fillId="33" borderId="13" xfId="59" applyNumberFormat="1" applyFont="1" applyFill="1" applyBorder="1" applyAlignment="1">
      <alignment horizontal="right" vertical="center"/>
      <protection/>
    </xf>
    <xf numFmtId="0" fontId="23" fillId="33" borderId="0" xfId="59" applyFont="1" applyFill="1" applyAlignment="1">
      <alignment horizontal="center" vertical="center"/>
      <protection/>
    </xf>
    <xf numFmtId="0" fontId="20" fillId="33" borderId="0" xfId="0" applyFont="1" applyFill="1" applyAlignment="1">
      <alignment horizontal="center" vertical="center"/>
    </xf>
    <xf numFmtId="3" fontId="13" fillId="33" borderId="0" xfId="0" applyNumberFormat="1" applyFont="1" applyFill="1" applyAlignment="1">
      <alignment horizontal="right" vertical="center"/>
    </xf>
    <xf numFmtId="3" fontId="7" fillId="33" borderId="0" xfId="59" applyNumberFormat="1" applyFont="1" applyFill="1" applyBorder="1" applyAlignment="1">
      <alignment vertical="center"/>
      <protection/>
    </xf>
    <xf numFmtId="3" fontId="23" fillId="33" borderId="0" xfId="0" applyNumberFormat="1" applyFont="1" applyFill="1" applyAlignment="1">
      <alignment horizontal="right" vertical="center"/>
    </xf>
    <xf numFmtId="3" fontId="13" fillId="33" borderId="0" xfId="59" applyNumberFormat="1" applyFont="1" applyFill="1" applyAlignment="1">
      <alignment vertical="center"/>
      <protection/>
    </xf>
    <xf numFmtId="3" fontId="23" fillId="33" borderId="0" xfId="0" applyNumberFormat="1" applyFont="1" applyFill="1" applyAlignment="1" quotePrefix="1">
      <alignment horizontal="right" vertical="center"/>
    </xf>
    <xf numFmtId="3" fontId="12" fillId="33" borderId="0" xfId="60" applyNumberFormat="1" applyFont="1" applyFill="1" applyBorder="1" applyAlignment="1">
      <alignment horizontal="right" vertical="center"/>
      <protection/>
    </xf>
    <xf numFmtId="3" fontId="20" fillId="33" borderId="0" xfId="0" applyNumberFormat="1" applyFont="1" applyFill="1" applyBorder="1" applyAlignment="1">
      <alignment horizontal="center" vertical="center"/>
    </xf>
    <xf numFmtId="3" fontId="13" fillId="33" borderId="13" xfId="0" applyNumberFormat="1" applyFont="1" applyFill="1" applyBorder="1" applyAlignment="1">
      <alignment vertical="center"/>
    </xf>
    <xf numFmtId="3" fontId="13" fillId="33" borderId="0" xfId="0" applyNumberFormat="1" applyFont="1" applyFill="1" applyBorder="1" applyAlignment="1">
      <alignment vertical="center"/>
    </xf>
    <xf numFmtId="3" fontId="20" fillId="33" borderId="0" xfId="59" applyNumberFormat="1" applyFont="1" applyFill="1" applyBorder="1" applyAlignment="1">
      <alignment horizontal="center" vertical="center" wrapText="1"/>
      <protection/>
    </xf>
    <xf numFmtId="3" fontId="14" fillId="33" borderId="0" xfId="60" applyNumberFormat="1" applyFont="1" applyFill="1" applyAlignment="1">
      <alignment horizontal="right" vertical="center"/>
      <protection/>
    </xf>
    <xf numFmtId="3" fontId="14" fillId="33" borderId="0" xfId="0" applyNumberFormat="1" applyFont="1" applyFill="1" applyAlignment="1">
      <alignment horizontal="right" vertical="center"/>
    </xf>
    <xf numFmtId="3" fontId="13" fillId="33" borderId="12" xfId="0" applyNumberFormat="1" applyFont="1" applyFill="1" applyBorder="1" applyAlignment="1">
      <alignment vertical="center"/>
    </xf>
    <xf numFmtId="3" fontId="13" fillId="33" borderId="0" xfId="0" applyNumberFormat="1" applyFont="1" applyFill="1" applyAlignment="1">
      <alignment vertical="center"/>
    </xf>
    <xf numFmtId="0" fontId="4" fillId="33" borderId="0" xfId="61" applyFont="1" applyFill="1" applyAlignment="1">
      <alignment vertical="center"/>
      <protection/>
    </xf>
    <xf numFmtId="3" fontId="7" fillId="33" borderId="13" xfId="0" applyNumberFormat="1" applyFont="1" applyFill="1" applyBorder="1" applyAlignment="1">
      <alignment vertical="center"/>
    </xf>
    <xf numFmtId="3" fontId="7" fillId="33" borderId="0" xfId="59" applyNumberFormat="1" applyFont="1" applyFill="1" applyAlignment="1">
      <alignment vertical="center"/>
      <protection/>
    </xf>
    <xf numFmtId="3" fontId="20" fillId="33" borderId="0" xfId="59" applyNumberFormat="1" applyFont="1" applyFill="1" applyAlignment="1">
      <alignment horizontal="center" vertical="center"/>
      <protection/>
    </xf>
    <xf numFmtId="49" fontId="7" fillId="33" borderId="0" xfId="59" applyNumberFormat="1" applyFont="1" applyFill="1" applyBorder="1" applyAlignment="1">
      <alignment horizontal="left" vertical="center" wrapText="1"/>
      <protection/>
    </xf>
    <xf numFmtId="49" fontId="13" fillId="33" borderId="0" xfId="59" applyNumberFormat="1" applyFont="1" applyFill="1" applyBorder="1" applyAlignment="1">
      <alignment horizontal="left" vertical="center" wrapText="1"/>
      <protection/>
    </xf>
    <xf numFmtId="3" fontId="13" fillId="33" borderId="0" xfId="59" applyNumberFormat="1" applyFont="1" applyFill="1" applyBorder="1" applyAlignment="1">
      <alignment/>
      <protection/>
    </xf>
    <xf numFmtId="3" fontId="7" fillId="33" borderId="0" xfId="59" applyNumberFormat="1" applyFont="1" applyFill="1" applyBorder="1" applyAlignment="1">
      <alignment horizontal="center" vertical="center" wrapText="1"/>
      <protection/>
    </xf>
    <xf numFmtId="3" fontId="13" fillId="33" borderId="0" xfId="59" applyNumberFormat="1" applyFont="1" applyFill="1" applyAlignment="1" quotePrefix="1">
      <alignment vertical="center"/>
      <protection/>
    </xf>
    <xf numFmtId="3" fontId="13" fillId="33" borderId="0" xfId="0" applyNumberFormat="1" applyFont="1" applyFill="1" applyAlignment="1" quotePrefix="1">
      <alignment vertical="center"/>
    </xf>
    <xf numFmtId="3" fontId="12" fillId="33" borderId="0" xfId="57" applyNumberFormat="1" applyFont="1" applyFill="1" applyAlignment="1">
      <alignment horizontal="left" vertical="center"/>
      <protection/>
    </xf>
    <xf numFmtId="3" fontId="13" fillId="33" borderId="0" xfId="57" applyNumberFormat="1" applyFont="1" applyFill="1" applyAlignment="1">
      <alignment vertical="center"/>
      <protection/>
    </xf>
    <xf numFmtId="49" fontId="14" fillId="33" borderId="0" xfId="61" applyNumberFormat="1" applyFont="1" applyFill="1" applyAlignment="1">
      <alignment horizontal="center" vertical="center"/>
      <protection/>
    </xf>
    <xf numFmtId="3" fontId="13" fillId="33" borderId="0" xfId="57" applyNumberFormat="1" applyFont="1" applyFill="1" applyBorder="1" applyAlignment="1">
      <alignment vertical="center"/>
      <protection/>
    </xf>
    <xf numFmtId="0" fontId="8" fillId="33" borderId="0" xfId="61" applyFont="1" applyFill="1" applyAlignment="1">
      <alignment horizontal="center" vertical="center"/>
      <protection/>
    </xf>
    <xf numFmtId="3" fontId="13" fillId="33" borderId="0" xfId="61" applyNumberFormat="1" applyFont="1" applyFill="1" applyAlignment="1">
      <alignment vertical="center"/>
      <protection/>
    </xf>
    <xf numFmtId="0" fontId="7" fillId="33" borderId="0" xfId="61" applyFont="1" applyFill="1" applyAlignment="1">
      <alignment vertical="center"/>
      <protection/>
    </xf>
    <xf numFmtId="0" fontId="13" fillId="33" borderId="0" xfId="61" applyFont="1" applyFill="1" applyAlignment="1">
      <alignment horizontal="center" vertical="center"/>
      <protection/>
    </xf>
    <xf numFmtId="178" fontId="13" fillId="33" borderId="0" xfId="61" applyNumberFormat="1" applyFont="1" applyFill="1" applyAlignment="1">
      <alignment vertical="center"/>
      <protection/>
    </xf>
    <xf numFmtId="0" fontId="13" fillId="33" borderId="0" xfId="61" applyFont="1" applyFill="1" applyAlignment="1">
      <alignment horizontal="right" vertical="center"/>
      <protection/>
    </xf>
    <xf numFmtId="0" fontId="14" fillId="33" borderId="0" xfId="61" applyFont="1" applyFill="1" applyAlignment="1">
      <alignment vertical="center"/>
      <protection/>
    </xf>
    <xf numFmtId="0" fontId="12" fillId="33" borderId="0" xfId="61" applyFont="1" applyFill="1" applyAlignment="1">
      <alignment vertical="center"/>
      <protection/>
    </xf>
    <xf numFmtId="49" fontId="14" fillId="33" borderId="0" xfId="61" applyNumberFormat="1" applyFont="1" applyFill="1" applyBorder="1" applyAlignment="1">
      <alignment horizontal="center" vertical="center"/>
      <protection/>
    </xf>
    <xf numFmtId="0" fontId="12" fillId="33" borderId="0" xfId="61" applyFont="1" applyFill="1" applyBorder="1" applyAlignment="1">
      <alignment vertical="center"/>
      <protection/>
    </xf>
    <xf numFmtId="3" fontId="7" fillId="33" borderId="0" xfId="60" applyNumberFormat="1" applyFont="1" applyFill="1" applyAlignment="1">
      <alignment vertical="center"/>
      <protection/>
    </xf>
    <xf numFmtId="0" fontId="27" fillId="33" borderId="0" xfId="61" applyFont="1" applyFill="1" applyAlignment="1">
      <alignment vertical="center"/>
      <protection/>
    </xf>
    <xf numFmtId="3" fontId="12" fillId="33" borderId="0" xfId="60" applyNumberFormat="1" applyFont="1" applyFill="1" applyAlignment="1">
      <alignment horizontal="center" vertical="center"/>
      <protection/>
    </xf>
    <xf numFmtId="3" fontId="12" fillId="33" borderId="0" xfId="57" applyNumberFormat="1" applyFont="1" applyFill="1" applyAlignment="1">
      <alignment horizontal="center" vertical="center"/>
      <protection/>
    </xf>
    <xf numFmtId="3" fontId="14" fillId="33" borderId="0" xfId="57" applyNumberFormat="1" applyFont="1" applyFill="1" applyAlignment="1">
      <alignment horizontal="center" vertical="center"/>
      <protection/>
    </xf>
    <xf numFmtId="3" fontId="13" fillId="33" borderId="0" xfId="60" applyNumberFormat="1" applyFont="1" applyFill="1" applyAlignment="1">
      <alignment horizontal="center" vertical="center"/>
      <protection/>
    </xf>
    <xf numFmtId="3" fontId="14" fillId="33" borderId="0" xfId="60" applyNumberFormat="1" applyFont="1" applyFill="1" applyAlignment="1">
      <alignment vertical="center"/>
      <protection/>
    </xf>
    <xf numFmtId="3" fontId="34" fillId="33" borderId="0" xfId="60" applyNumberFormat="1" applyFont="1" applyFill="1" applyAlignment="1">
      <alignment horizontal="center" vertical="center"/>
      <protection/>
    </xf>
    <xf numFmtId="3" fontId="33" fillId="33" borderId="0" xfId="60" applyNumberFormat="1" applyFont="1" applyFill="1" applyAlignment="1">
      <alignment horizontal="center" vertical="center"/>
      <protection/>
    </xf>
    <xf numFmtId="0" fontId="14" fillId="33" borderId="0" xfId="61" applyFont="1" applyFill="1" applyAlignment="1">
      <alignment horizontal="right" vertical="center"/>
      <protection/>
    </xf>
    <xf numFmtId="3" fontId="16" fillId="33" borderId="19" xfId="61" applyNumberFormat="1" applyFont="1" applyFill="1" applyBorder="1" applyAlignment="1">
      <alignment horizontal="center" vertical="center" wrapText="1"/>
      <protection/>
    </xf>
    <xf numFmtId="3" fontId="16" fillId="33" borderId="20" xfId="61" applyNumberFormat="1" applyFont="1" applyFill="1" applyBorder="1" applyAlignment="1">
      <alignment horizontal="center" vertical="center" wrapText="1"/>
      <protection/>
    </xf>
    <xf numFmtId="3" fontId="12" fillId="33" borderId="13" xfId="60" applyNumberFormat="1" applyFont="1" applyFill="1" applyBorder="1" applyAlignment="1">
      <alignment horizontal="center" vertical="center"/>
      <protection/>
    </xf>
    <xf numFmtId="0" fontId="12" fillId="33" borderId="13" xfId="61" applyFont="1" applyFill="1" applyBorder="1" applyAlignment="1">
      <alignment horizontal="center" vertical="center" wrapText="1"/>
      <protection/>
    </xf>
    <xf numFmtId="3" fontId="12" fillId="33" borderId="13" xfId="60" applyNumberFormat="1" applyFont="1" applyFill="1" applyBorder="1" applyAlignment="1">
      <alignment horizontal="right" vertical="center" wrapText="1"/>
      <protection/>
    </xf>
    <xf numFmtId="3" fontId="4" fillId="33" borderId="13" xfId="58" applyNumberFormat="1" applyFont="1" applyFill="1" applyBorder="1" applyAlignment="1">
      <alignment horizontal="right" vertical="center" wrapText="1"/>
      <protection/>
    </xf>
    <xf numFmtId="3" fontId="12" fillId="33" borderId="13" xfId="58" applyNumberFormat="1" applyFont="1" applyFill="1" applyBorder="1" applyAlignment="1">
      <alignment horizontal="right" vertical="center" wrapText="1"/>
      <protection/>
    </xf>
    <xf numFmtId="3" fontId="12" fillId="33" borderId="0" xfId="60" applyNumberFormat="1" applyFont="1" applyFill="1" applyBorder="1" applyAlignment="1">
      <alignment horizontal="center" vertical="center"/>
      <protection/>
    </xf>
    <xf numFmtId="3" fontId="4" fillId="33" borderId="0" xfId="60" applyNumberFormat="1" applyFont="1" applyFill="1" applyBorder="1" applyAlignment="1">
      <alignment horizontal="center" vertical="center"/>
      <protection/>
    </xf>
    <xf numFmtId="3" fontId="4" fillId="33" borderId="17" xfId="60" applyNumberFormat="1" applyFont="1" applyFill="1" applyBorder="1" applyAlignment="1">
      <alignment vertical="center"/>
      <protection/>
    </xf>
    <xf numFmtId="3" fontId="14" fillId="33" borderId="0" xfId="60" applyNumberFormat="1" applyFont="1" applyFill="1" applyAlignment="1">
      <alignment horizontal="center" vertical="center"/>
      <protection/>
    </xf>
    <xf numFmtId="3" fontId="4" fillId="33" borderId="0" xfId="60" applyNumberFormat="1" applyFont="1" applyFill="1" applyBorder="1" applyAlignment="1">
      <alignment vertical="center"/>
      <protection/>
    </xf>
    <xf numFmtId="3" fontId="14" fillId="33" borderId="0" xfId="60" applyNumberFormat="1" applyFont="1" applyFill="1" applyBorder="1" applyAlignment="1">
      <alignment vertical="center"/>
      <protection/>
    </xf>
    <xf numFmtId="3" fontId="4" fillId="33" borderId="13" xfId="61" applyNumberFormat="1" applyFont="1" applyFill="1" applyBorder="1" applyAlignment="1">
      <alignment vertical="center"/>
      <protection/>
    </xf>
    <xf numFmtId="3" fontId="7" fillId="33" borderId="0" xfId="60" applyNumberFormat="1" applyFont="1" applyFill="1" applyBorder="1" applyAlignment="1">
      <alignment horizontal="center" vertical="center"/>
      <protection/>
    </xf>
    <xf numFmtId="3" fontId="4" fillId="33" borderId="17" xfId="60" applyNumberFormat="1" applyFont="1" applyFill="1" applyBorder="1" applyAlignment="1">
      <alignment horizontal="right" vertical="center"/>
      <protection/>
    </xf>
    <xf numFmtId="3" fontId="12" fillId="33" borderId="0" xfId="60" applyNumberFormat="1" applyFont="1" applyFill="1" applyAlignment="1">
      <alignment vertical="center" wrapText="1"/>
      <protection/>
    </xf>
    <xf numFmtId="3" fontId="7" fillId="33" borderId="0" xfId="60" applyNumberFormat="1" applyFont="1" applyFill="1" applyBorder="1" applyAlignment="1">
      <alignment vertical="center"/>
      <protection/>
    </xf>
    <xf numFmtId="3" fontId="14" fillId="33" borderId="0" xfId="60" applyNumberFormat="1" applyFont="1" applyFill="1" applyAlignment="1">
      <alignment horizontal="center" vertical="center" wrapText="1"/>
      <protection/>
    </xf>
    <xf numFmtId="3" fontId="14" fillId="33" borderId="13" xfId="60" applyNumberFormat="1" applyFont="1" applyFill="1" applyBorder="1" applyAlignment="1">
      <alignment horizontal="center" vertical="center" wrapText="1"/>
      <protection/>
    </xf>
    <xf numFmtId="3" fontId="4" fillId="33" borderId="13" xfId="60" applyNumberFormat="1" applyFont="1" applyFill="1" applyBorder="1" applyAlignment="1">
      <alignment horizontal="right" vertical="center" wrapText="1"/>
      <protection/>
    </xf>
    <xf numFmtId="3" fontId="8" fillId="33" borderId="0" xfId="60" applyNumberFormat="1" applyFont="1" applyFill="1" applyAlignment="1">
      <alignment horizontal="right" vertical="center"/>
      <protection/>
    </xf>
    <xf numFmtId="3" fontId="12" fillId="33" borderId="0" xfId="60" applyNumberFormat="1" applyFont="1" applyFill="1" applyBorder="1" applyAlignment="1">
      <alignment vertical="center"/>
      <protection/>
    </xf>
    <xf numFmtId="3" fontId="29" fillId="33" borderId="0" xfId="60" applyNumberFormat="1" applyFont="1" applyFill="1" applyBorder="1" applyAlignment="1">
      <alignment vertical="center"/>
      <protection/>
    </xf>
    <xf numFmtId="3" fontId="4" fillId="33" borderId="0" xfId="60" applyNumberFormat="1" applyFont="1" applyFill="1" applyBorder="1" applyAlignment="1">
      <alignment horizontal="right" vertical="center"/>
      <protection/>
    </xf>
    <xf numFmtId="3" fontId="12" fillId="33" borderId="0" xfId="57" applyNumberFormat="1" applyFont="1" applyFill="1" applyAlignment="1">
      <alignment vertical="center"/>
      <protection/>
    </xf>
    <xf numFmtId="3" fontId="4" fillId="33" borderId="0" xfId="57" applyNumberFormat="1" applyFont="1" applyFill="1" applyBorder="1" applyAlignment="1">
      <alignment horizontal="center" vertical="center"/>
      <protection/>
    </xf>
    <xf numFmtId="3" fontId="30" fillId="33" borderId="0" xfId="60" applyNumberFormat="1" applyFont="1" applyFill="1" applyAlignment="1">
      <alignment vertical="center"/>
      <protection/>
    </xf>
    <xf numFmtId="3" fontId="12" fillId="33" borderId="13" xfId="60" applyNumberFormat="1" applyFont="1" applyFill="1" applyBorder="1" applyAlignment="1">
      <alignment horizontal="right" vertical="center"/>
      <protection/>
    </xf>
    <xf numFmtId="3" fontId="12" fillId="33" borderId="0" xfId="57" applyNumberFormat="1" applyFont="1" applyFill="1" applyBorder="1" applyAlignment="1">
      <alignment vertical="center"/>
      <protection/>
    </xf>
    <xf numFmtId="3" fontId="12" fillId="33" borderId="0" xfId="57" applyNumberFormat="1" applyFont="1" applyFill="1" applyBorder="1" applyAlignment="1">
      <alignment horizontal="center" vertical="center"/>
      <protection/>
    </xf>
    <xf numFmtId="3" fontId="4" fillId="33" borderId="17" xfId="57" applyNumberFormat="1" applyFont="1" applyFill="1" applyBorder="1" applyAlignment="1">
      <alignment horizontal="right" vertical="center"/>
      <protection/>
    </xf>
    <xf numFmtId="3" fontId="14" fillId="33" borderId="0" xfId="57" applyNumberFormat="1" applyFont="1" applyFill="1" applyBorder="1" applyAlignment="1">
      <alignment horizontal="right" vertical="center"/>
      <protection/>
    </xf>
    <xf numFmtId="3" fontId="4" fillId="33" borderId="0" xfId="57" applyNumberFormat="1" applyFont="1" applyFill="1" applyBorder="1" applyAlignment="1">
      <alignment horizontal="right" vertical="center"/>
      <protection/>
    </xf>
    <xf numFmtId="49" fontId="8" fillId="33" borderId="0" xfId="61" applyNumberFormat="1" applyFont="1" applyFill="1" applyAlignment="1">
      <alignment horizontal="center" vertical="center"/>
      <protection/>
    </xf>
    <xf numFmtId="0" fontId="5" fillId="33" borderId="0" xfId="61" applyFont="1" applyFill="1" applyAlignment="1">
      <alignment vertical="center"/>
      <protection/>
    </xf>
    <xf numFmtId="3" fontId="32" fillId="33" borderId="0" xfId="60" applyNumberFormat="1" applyFont="1" applyFill="1" applyAlignment="1">
      <alignment horizontal="center" vertical="center"/>
      <protection/>
    </xf>
    <xf numFmtId="3" fontId="4" fillId="33" borderId="13" xfId="60" applyNumberFormat="1" applyFont="1" applyFill="1" applyBorder="1" applyAlignment="1">
      <alignment horizontal="center" vertical="center"/>
      <protection/>
    </xf>
    <xf numFmtId="0" fontId="8" fillId="33" borderId="0" xfId="57" applyFont="1" applyFill="1" applyAlignment="1">
      <alignment vertical="center" wrapText="1"/>
      <protection/>
    </xf>
    <xf numFmtId="3" fontId="9" fillId="33" borderId="13" xfId="57" applyNumberFormat="1" applyFont="1" applyFill="1" applyBorder="1" applyAlignment="1">
      <alignment horizontal="left" vertical="center"/>
      <protection/>
    </xf>
    <xf numFmtId="1" fontId="5" fillId="33" borderId="0" xfId="61" applyNumberFormat="1" applyFont="1" applyFill="1" applyAlignment="1">
      <alignment horizontal="right" vertical="center"/>
      <protection/>
    </xf>
    <xf numFmtId="49" fontId="5" fillId="33" borderId="0" xfId="60" applyNumberFormat="1" applyFont="1" applyFill="1" applyAlignment="1">
      <alignment horizontal="center" vertical="center"/>
      <protection/>
    </xf>
    <xf numFmtId="3" fontId="4" fillId="33" borderId="13" xfId="60" applyNumberFormat="1" applyFont="1" applyFill="1" applyBorder="1" applyAlignment="1">
      <alignment horizontal="center" vertical="center" wrapText="1"/>
      <protection/>
    </xf>
    <xf numFmtId="3" fontId="18" fillId="33" borderId="0" xfId="59" applyNumberFormat="1" applyFont="1" applyFill="1" applyBorder="1" applyAlignment="1">
      <alignment horizontal="center" vertical="center" wrapText="1"/>
      <protection/>
    </xf>
    <xf numFmtId="3" fontId="13" fillId="33" borderId="17" xfId="60" applyNumberFormat="1" applyFont="1" applyFill="1" applyBorder="1" applyAlignment="1">
      <alignment vertical="center"/>
      <protection/>
    </xf>
    <xf numFmtId="3" fontId="13" fillId="33" borderId="17" xfId="60" applyNumberFormat="1" applyFont="1" applyFill="1" applyBorder="1" applyAlignment="1">
      <alignment vertical="center" wrapText="1"/>
      <protection/>
    </xf>
    <xf numFmtId="3" fontId="7" fillId="33" borderId="17" xfId="61" applyNumberFormat="1" applyFont="1" applyFill="1" applyBorder="1" applyAlignment="1">
      <alignment vertical="center"/>
      <protection/>
    </xf>
    <xf numFmtId="3" fontId="4" fillId="33" borderId="17" xfId="60" applyNumberFormat="1" applyFont="1" applyFill="1" applyBorder="1" applyAlignment="1">
      <alignment horizontal="center" vertical="center"/>
      <protection/>
    </xf>
    <xf numFmtId="3" fontId="12" fillId="33" borderId="17" xfId="60" applyNumberFormat="1" applyFont="1" applyFill="1" applyBorder="1" applyAlignment="1">
      <alignment horizontal="center" vertical="center" wrapText="1"/>
      <protection/>
    </xf>
    <xf numFmtId="3" fontId="4" fillId="33" borderId="0" xfId="60" applyNumberFormat="1" applyFont="1" applyFill="1" applyBorder="1" applyAlignment="1">
      <alignment horizontal="right" vertical="center" wrapText="1"/>
      <protection/>
    </xf>
    <xf numFmtId="0" fontId="5" fillId="33" borderId="0" xfId="59" applyFont="1" applyFill="1" applyBorder="1" applyAlignment="1">
      <alignment vertical="center"/>
      <protection/>
    </xf>
    <xf numFmtId="3" fontId="8" fillId="33" borderId="0" xfId="61" applyNumberFormat="1" applyFont="1" applyFill="1" applyBorder="1" applyAlignment="1">
      <alignment horizontal="right" vertical="center"/>
      <protection/>
    </xf>
    <xf numFmtId="3" fontId="9" fillId="33" borderId="0" xfId="57" applyNumberFormat="1" applyFont="1" applyFill="1" applyBorder="1" applyAlignment="1">
      <alignment horizontal="left" vertical="center"/>
      <protection/>
    </xf>
    <xf numFmtId="3" fontId="13" fillId="33" borderId="0" xfId="59" applyNumberFormat="1" applyFont="1" applyFill="1" applyBorder="1" applyAlignment="1">
      <alignment horizontal="center" vertical="center"/>
      <protection/>
    </xf>
    <xf numFmtId="3" fontId="9" fillId="33" borderId="0" xfId="59" applyNumberFormat="1" applyFont="1" applyFill="1" applyBorder="1" applyAlignment="1">
      <alignment horizontal="left" vertical="center"/>
      <protection/>
    </xf>
    <xf numFmtId="3" fontId="8" fillId="33" borderId="0" xfId="59" applyNumberFormat="1" applyFont="1" applyFill="1" applyBorder="1" applyAlignment="1">
      <alignment vertical="center"/>
      <protection/>
    </xf>
    <xf numFmtId="3" fontId="12" fillId="33" borderId="13" xfId="60" applyNumberFormat="1" applyFont="1" applyFill="1" applyBorder="1" applyAlignment="1">
      <alignment vertical="center" wrapText="1"/>
      <protection/>
    </xf>
    <xf numFmtId="3" fontId="12" fillId="33" borderId="13" xfId="60" applyNumberFormat="1" applyFont="1" applyFill="1" applyBorder="1" applyAlignment="1">
      <alignment horizontal="left" vertical="center" wrapText="1"/>
      <protection/>
    </xf>
    <xf numFmtId="3" fontId="28" fillId="33" borderId="0" xfId="59" applyNumberFormat="1" applyFont="1" applyFill="1" applyBorder="1" applyAlignment="1">
      <alignment horizontal="center" vertical="center"/>
      <protection/>
    </xf>
    <xf numFmtId="3" fontId="13" fillId="33" borderId="11" xfId="59" applyNumberFormat="1" applyFont="1" applyFill="1" applyBorder="1" applyAlignment="1">
      <alignment horizontal="center" vertical="center"/>
      <protection/>
    </xf>
    <xf numFmtId="3" fontId="7" fillId="33" borderId="21" xfId="59" applyNumberFormat="1" applyFont="1" applyFill="1" applyBorder="1" applyAlignment="1">
      <alignment horizontal="center" vertical="center"/>
      <protection/>
    </xf>
    <xf numFmtId="0" fontId="13" fillId="33" borderId="0" xfId="0" applyFont="1" applyFill="1" applyAlignment="1">
      <alignment horizontal="left" vertical="center"/>
    </xf>
    <xf numFmtId="0" fontId="11" fillId="33" borderId="0" xfId="61" applyFont="1" applyFill="1" applyAlignment="1">
      <alignment horizontal="center" vertical="center"/>
      <protection/>
    </xf>
    <xf numFmtId="3" fontId="18" fillId="33" borderId="0" xfId="59" applyNumberFormat="1" applyFont="1" applyFill="1" applyBorder="1" applyAlignment="1">
      <alignment horizontal="left" vertical="center"/>
      <protection/>
    </xf>
    <xf numFmtId="3" fontId="13" fillId="33" borderId="0" xfId="59" applyNumberFormat="1" applyFont="1" applyFill="1" applyBorder="1" applyAlignment="1">
      <alignment horizontal="center" vertical="center" wrapText="1"/>
      <protection/>
    </xf>
    <xf numFmtId="3" fontId="9" fillId="33" borderId="0" xfId="57" applyNumberFormat="1" applyFont="1" applyFill="1" applyBorder="1" applyAlignment="1">
      <alignment horizontal="right" vertical="center"/>
      <protection/>
    </xf>
    <xf numFmtId="49" fontId="8" fillId="33" borderId="0" xfId="59" applyNumberFormat="1" applyFont="1" applyFill="1" applyBorder="1" applyAlignment="1">
      <alignment horizontal="left" vertical="center" wrapText="1"/>
      <protection/>
    </xf>
    <xf numFmtId="3" fontId="14" fillId="33" borderId="0" xfId="60" applyNumberFormat="1" applyFont="1" applyFill="1" applyBorder="1" applyAlignment="1">
      <alignment horizontal="center" vertical="center" wrapText="1"/>
      <protection/>
    </xf>
    <xf numFmtId="3" fontId="12" fillId="33" borderId="0" xfId="60" applyNumberFormat="1" applyFont="1" applyFill="1" applyBorder="1" applyAlignment="1">
      <alignment horizontal="left" vertical="center" wrapText="1"/>
      <protection/>
    </xf>
    <xf numFmtId="3" fontId="104" fillId="33" borderId="0" xfId="60" applyNumberFormat="1" applyFont="1" applyFill="1" applyAlignment="1">
      <alignment vertical="center"/>
      <protection/>
    </xf>
    <xf numFmtId="3" fontId="11" fillId="33" borderId="0" xfId="59" applyNumberFormat="1" applyFont="1" applyFill="1" applyBorder="1" applyAlignment="1">
      <alignment horizontal="center" vertical="center"/>
      <protection/>
    </xf>
    <xf numFmtId="3" fontId="5" fillId="33" borderId="0" xfId="59" applyNumberFormat="1" applyFont="1" applyFill="1" applyBorder="1" applyAlignment="1">
      <alignment horizontal="center" vertical="center"/>
      <protection/>
    </xf>
    <xf numFmtId="170" fontId="13" fillId="33" borderId="0" xfId="44" applyFont="1" applyFill="1" applyBorder="1" applyAlignment="1">
      <alignment horizontal="center" vertical="center"/>
    </xf>
    <xf numFmtId="178" fontId="8" fillId="33" borderId="0" xfId="61" applyNumberFormat="1" applyFont="1" applyFill="1" applyAlignment="1">
      <alignment vertical="center"/>
      <protection/>
    </xf>
    <xf numFmtId="0" fontId="37" fillId="33" borderId="13" xfId="0" applyFont="1" applyFill="1" applyBorder="1" applyAlignment="1">
      <alignment horizontal="left" vertical="center" wrapText="1"/>
    </xf>
    <xf numFmtId="0" fontId="36" fillId="33" borderId="17" xfId="0" applyFont="1" applyFill="1" applyBorder="1" applyAlignment="1">
      <alignment horizontal="left" vertical="center" wrapText="1"/>
    </xf>
    <xf numFmtId="3" fontId="7" fillId="33" borderId="17" xfId="60" applyNumberFormat="1" applyFont="1" applyFill="1" applyBorder="1" applyAlignment="1">
      <alignment horizontal="center" vertical="center" wrapText="1"/>
      <protection/>
    </xf>
    <xf numFmtId="3" fontId="7" fillId="33" borderId="17" xfId="60" applyNumberFormat="1" applyFont="1" applyFill="1" applyBorder="1" applyAlignment="1">
      <alignment horizontal="center" vertical="center"/>
      <protection/>
    </xf>
    <xf numFmtId="3" fontId="7" fillId="33" borderId="17" xfId="60" applyNumberFormat="1" applyFont="1" applyFill="1" applyBorder="1" applyAlignment="1">
      <alignment horizontal="right" vertical="center"/>
      <protection/>
    </xf>
    <xf numFmtId="3" fontId="4" fillId="33" borderId="13" xfId="60" applyNumberFormat="1" applyFont="1" applyFill="1" applyBorder="1" applyAlignment="1">
      <alignment vertical="center"/>
      <protection/>
    </xf>
    <xf numFmtId="3" fontId="4" fillId="33" borderId="13" xfId="60" applyNumberFormat="1" applyFont="1" applyFill="1" applyBorder="1" applyAlignment="1">
      <alignment vertical="center" wrapText="1"/>
      <protection/>
    </xf>
    <xf numFmtId="3" fontId="9" fillId="33" borderId="13" xfId="57" applyNumberFormat="1" applyFont="1" applyFill="1" applyBorder="1" applyAlignment="1">
      <alignment horizontal="right" vertical="center"/>
      <protection/>
    </xf>
    <xf numFmtId="3" fontId="17" fillId="34" borderId="0" xfId="0" applyNumberFormat="1" applyFont="1" applyFill="1" applyAlignment="1">
      <alignment vertical="center"/>
    </xf>
    <xf numFmtId="0" fontId="13" fillId="33" borderId="0" xfId="0" applyFont="1" applyFill="1" applyBorder="1" applyAlignment="1">
      <alignment horizontal="center" vertical="center"/>
    </xf>
    <xf numFmtId="3" fontId="7" fillId="33" borderId="0" xfId="57" applyNumberFormat="1" applyFont="1" applyFill="1" applyBorder="1" applyAlignment="1">
      <alignment horizontal="center" vertical="center"/>
      <protection/>
    </xf>
    <xf numFmtId="3" fontId="7" fillId="33" borderId="17" xfId="61" applyNumberFormat="1" applyFont="1" applyFill="1" applyBorder="1" applyAlignment="1">
      <alignment horizontal="right" vertical="center" wrapText="1"/>
      <protection/>
    </xf>
    <xf numFmtId="3" fontId="26" fillId="33" borderId="0" xfId="61" applyNumberFormat="1" applyFont="1" applyFill="1" applyBorder="1" applyAlignment="1">
      <alignment horizontal="right" vertical="center" wrapText="1"/>
      <protection/>
    </xf>
    <xf numFmtId="3" fontId="7" fillId="33" borderId="0" xfId="60" applyNumberFormat="1" applyFont="1" applyFill="1" applyBorder="1" applyAlignment="1">
      <alignment horizontal="right" vertical="center"/>
      <protection/>
    </xf>
    <xf numFmtId="3" fontId="26" fillId="33" borderId="0" xfId="59" applyNumberFormat="1" applyFont="1" applyFill="1" applyBorder="1" applyAlignment="1">
      <alignment horizontal="left" vertical="center"/>
      <protection/>
    </xf>
    <xf numFmtId="3" fontId="14" fillId="33" borderId="0" xfId="59" applyNumberFormat="1" applyFont="1" applyFill="1" applyBorder="1" applyAlignment="1">
      <alignment horizontal="left" vertical="center" wrapText="1"/>
      <protection/>
    </xf>
    <xf numFmtId="3" fontId="0" fillId="0" borderId="0" xfId="0" applyNumberFormat="1" applyAlignment="1">
      <alignment/>
    </xf>
    <xf numFmtId="3" fontId="105" fillId="0" borderId="0" xfId="0" applyNumberFormat="1" applyFont="1" applyAlignment="1">
      <alignment/>
    </xf>
    <xf numFmtId="0" fontId="8" fillId="33" borderId="0" xfId="59" applyNumberFormat="1" applyFont="1" applyFill="1" applyBorder="1" applyAlignment="1">
      <alignment vertical="center"/>
      <protection/>
    </xf>
    <xf numFmtId="3" fontId="8" fillId="33" borderId="13" xfId="60" applyNumberFormat="1" applyFont="1" applyFill="1" applyBorder="1" applyAlignment="1">
      <alignment vertical="center"/>
      <protection/>
    </xf>
    <xf numFmtId="3" fontId="8" fillId="33" borderId="13" xfId="60" applyNumberFormat="1" applyFont="1" applyFill="1" applyBorder="1" applyAlignment="1">
      <alignment vertical="center" wrapText="1"/>
      <protection/>
    </xf>
    <xf numFmtId="3" fontId="9" fillId="33" borderId="13" xfId="61" applyNumberFormat="1" applyFont="1" applyFill="1" applyBorder="1" applyAlignment="1">
      <alignment vertical="center"/>
      <protection/>
    </xf>
    <xf numFmtId="49" fontId="35" fillId="33" borderId="0" xfId="60" applyNumberFormat="1" applyFont="1" applyFill="1" applyBorder="1" applyAlignment="1">
      <alignment horizontal="center" vertical="center"/>
      <protection/>
    </xf>
    <xf numFmtId="3" fontId="13" fillId="33" borderId="13" xfId="0" applyNumberFormat="1" applyFont="1" applyFill="1" applyBorder="1" applyAlignment="1">
      <alignment horizontal="right" vertical="center" wrapText="1"/>
    </xf>
    <xf numFmtId="3" fontId="13" fillId="33" borderId="13" xfId="61" applyNumberFormat="1" applyFont="1" applyFill="1" applyBorder="1" applyAlignment="1">
      <alignment horizontal="right" vertical="center" wrapText="1"/>
      <protection/>
    </xf>
    <xf numFmtId="3" fontId="13" fillId="33" borderId="13" xfId="61" applyNumberFormat="1" applyFont="1" applyFill="1" applyBorder="1" applyAlignment="1">
      <alignment vertical="center" wrapText="1"/>
      <protection/>
    </xf>
    <xf numFmtId="3" fontId="7" fillId="33" borderId="13" xfId="61" applyNumberFormat="1" applyFont="1" applyFill="1" applyBorder="1" applyAlignment="1">
      <alignment horizontal="right" vertical="center" wrapText="1"/>
      <protection/>
    </xf>
    <xf numFmtId="3" fontId="26" fillId="33" borderId="0" xfId="59" applyNumberFormat="1" applyFont="1" applyFill="1" applyBorder="1" applyAlignment="1">
      <alignment horizontal="left" vertical="center" wrapText="1"/>
      <protection/>
    </xf>
    <xf numFmtId="3" fontId="12" fillId="33" borderId="0" xfId="61" applyNumberFormat="1" applyFont="1" applyFill="1" applyAlignment="1">
      <alignment vertical="center"/>
      <protection/>
    </xf>
    <xf numFmtId="3" fontId="7" fillId="33" borderId="17" xfId="57" applyNumberFormat="1" applyFont="1" applyFill="1" applyBorder="1" applyAlignment="1">
      <alignment horizontal="center" vertical="center"/>
      <protection/>
    </xf>
    <xf numFmtId="0" fontId="13" fillId="33" borderId="0" xfId="61" applyFont="1" applyFill="1" applyBorder="1" applyAlignment="1">
      <alignment vertical="center"/>
      <protection/>
    </xf>
    <xf numFmtId="0" fontId="13" fillId="33" borderId="0" xfId="57" applyFont="1" applyFill="1" applyAlignment="1">
      <alignment horizontal="center" vertical="center"/>
      <protection/>
    </xf>
    <xf numFmtId="0" fontId="13" fillId="33" borderId="0" xfId="57" applyFont="1" applyFill="1" applyAlignment="1">
      <alignment vertical="center"/>
      <protection/>
    </xf>
    <xf numFmtId="0" fontId="7" fillId="33" borderId="0" xfId="57" applyFont="1" applyFill="1" applyAlignment="1">
      <alignment vertical="center"/>
      <protection/>
    </xf>
    <xf numFmtId="1" fontId="13" fillId="33" borderId="0" xfId="61" applyNumberFormat="1" applyFont="1" applyFill="1" applyBorder="1" applyAlignment="1">
      <alignment horizontal="center" vertical="center" wrapText="1"/>
      <protection/>
    </xf>
    <xf numFmtId="0" fontId="13" fillId="33" borderId="0" xfId="61" applyFont="1" applyFill="1" applyBorder="1" applyAlignment="1">
      <alignment horizontal="left" vertical="center" wrapText="1"/>
      <protection/>
    </xf>
    <xf numFmtId="3" fontId="7" fillId="33" borderId="17" xfId="61" applyNumberFormat="1" applyFont="1" applyFill="1" applyBorder="1" applyAlignment="1">
      <alignment vertical="center" wrapText="1"/>
      <protection/>
    </xf>
    <xf numFmtId="3" fontId="7" fillId="33" borderId="0" xfId="61" applyNumberFormat="1" applyFont="1" applyFill="1" applyBorder="1" applyAlignment="1">
      <alignment vertical="center" wrapText="1"/>
      <protection/>
    </xf>
    <xf numFmtId="0" fontId="14" fillId="33" borderId="0" xfId="61" applyFont="1" applyFill="1" applyAlignment="1">
      <alignment horizontal="center" vertical="center"/>
      <protection/>
    </xf>
    <xf numFmtId="3" fontId="7" fillId="33" borderId="0" xfId="60" applyNumberFormat="1" applyFont="1" applyFill="1" applyBorder="1" applyAlignment="1">
      <alignment horizontal="left" vertical="center"/>
      <protection/>
    </xf>
    <xf numFmtId="3" fontId="13" fillId="33" borderId="0" xfId="57" applyNumberFormat="1" applyFont="1" applyFill="1" applyBorder="1" applyAlignment="1">
      <alignment horizontal="left" vertical="center"/>
      <protection/>
    </xf>
    <xf numFmtId="3" fontId="4" fillId="33" borderId="13" xfId="60" applyNumberFormat="1" applyFont="1" applyFill="1" applyBorder="1" applyAlignment="1">
      <alignment horizontal="right" vertical="center"/>
      <protection/>
    </xf>
    <xf numFmtId="0" fontId="38" fillId="33" borderId="22" xfId="61" applyNumberFormat="1" applyFont="1" applyFill="1" applyBorder="1" applyAlignment="1">
      <alignment horizontal="center" vertical="center" wrapText="1"/>
      <protection/>
    </xf>
    <xf numFmtId="0" fontId="38" fillId="33" borderId="19" xfId="61" applyNumberFormat="1" applyFont="1" applyFill="1" applyBorder="1" applyAlignment="1">
      <alignment horizontal="center" vertical="center" wrapText="1"/>
      <protection/>
    </xf>
    <xf numFmtId="0" fontId="38" fillId="33" borderId="19" xfId="60" applyFont="1" applyFill="1" applyBorder="1" applyAlignment="1">
      <alignment horizontal="center" vertical="center" wrapText="1"/>
      <protection/>
    </xf>
    <xf numFmtId="3" fontId="16" fillId="33" borderId="19" xfId="59" applyNumberFormat="1" applyFont="1" applyFill="1" applyBorder="1" applyAlignment="1">
      <alignment horizontal="center" vertical="center" wrapText="1"/>
      <protection/>
    </xf>
    <xf numFmtId="3" fontId="38" fillId="33" borderId="19" xfId="61" applyNumberFormat="1" applyFont="1" applyFill="1" applyBorder="1" applyAlignment="1">
      <alignment horizontal="center" vertical="center" wrapText="1"/>
      <protection/>
    </xf>
    <xf numFmtId="3" fontId="38" fillId="33" borderId="19" xfId="59" applyNumberFormat="1" applyFont="1" applyFill="1" applyBorder="1" applyAlignment="1">
      <alignment horizontal="center" vertical="center" wrapText="1"/>
      <protection/>
    </xf>
    <xf numFmtId="3" fontId="38" fillId="33" borderId="23" xfId="61" applyNumberFormat="1" applyFont="1" applyFill="1" applyBorder="1" applyAlignment="1">
      <alignment horizontal="center" vertical="center" wrapText="1"/>
      <protection/>
    </xf>
    <xf numFmtId="3" fontId="13" fillId="33" borderId="13" xfId="0" applyNumberFormat="1" applyFont="1" applyFill="1" applyBorder="1" applyAlignment="1">
      <alignment vertical="center" wrapText="1"/>
    </xf>
    <xf numFmtId="3" fontId="7" fillId="33" borderId="0" xfId="59" applyNumberFormat="1" applyFont="1" applyFill="1" applyBorder="1" applyAlignment="1">
      <alignment horizontal="left" vertical="center" wrapText="1"/>
      <protection/>
    </xf>
    <xf numFmtId="3" fontId="26" fillId="33" borderId="0" xfId="0" applyNumberFormat="1" applyFont="1" applyFill="1" applyBorder="1" applyAlignment="1">
      <alignment horizontal="left" vertical="center" wrapText="1"/>
    </xf>
    <xf numFmtId="3" fontId="8" fillId="33" borderId="13" xfId="60" applyNumberFormat="1" applyFont="1" applyFill="1" applyBorder="1" applyAlignment="1">
      <alignment horizontal="center" vertical="center" wrapText="1"/>
      <protection/>
    </xf>
    <xf numFmtId="3" fontId="26" fillId="33" borderId="13" xfId="60" applyNumberFormat="1" applyFont="1" applyFill="1" applyBorder="1" applyAlignment="1">
      <alignment horizontal="center" vertical="center" wrapText="1"/>
      <protection/>
    </xf>
    <xf numFmtId="3" fontId="8" fillId="33" borderId="13" xfId="61" applyNumberFormat="1" applyFont="1" applyFill="1" applyBorder="1" applyAlignment="1">
      <alignment vertical="center"/>
      <protection/>
    </xf>
    <xf numFmtId="0" fontId="31" fillId="33" borderId="0" xfId="60" applyFont="1" applyFill="1" applyAlignment="1">
      <alignment horizontal="center" vertical="center"/>
      <protection/>
    </xf>
    <xf numFmtId="3" fontId="12" fillId="33" borderId="17" xfId="58" applyNumberFormat="1" applyFont="1" applyFill="1" applyBorder="1" applyAlignment="1">
      <alignment horizontal="right" vertical="center" wrapText="1"/>
      <protection/>
    </xf>
    <xf numFmtId="3" fontId="12" fillId="33" borderId="17" xfId="60" applyNumberFormat="1" applyFont="1" applyFill="1" applyBorder="1" applyAlignment="1">
      <alignment horizontal="right" vertical="center"/>
      <protection/>
    </xf>
    <xf numFmtId="3" fontId="12" fillId="33" borderId="17" xfId="60" applyNumberFormat="1" applyFont="1" applyFill="1" applyBorder="1" applyAlignment="1">
      <alignment vertical="center"/>
      <protection/>
    </xf>
    <xf numFmtId="3" fontId="18" fillId="33" borderId="13" xfId="60" applyNumberFormat="1" applyFont="1" applyFill="1" applyBorder="1" applyAlignment="1">
      <alignment horizontal="center" vertical="center" wrapText="1"/>
      <protection/>
    </xf>
    <xf numFmtId="3" fontId="14" fillId="33" borderId="0" xfId="60" applyNumberFormat="1" applyFont="1" applyFill="1" applyBorder="1" applyAlignment="1">
      <alignment horizontal="center" vertical="center"/>
      <protection/>
    </xf>
    <xf numFmtId="3" fontId="14" fillId="33" borderId="0" xfId="60" applyNumberFormat="1" applyFont="1" applyFill="1" applyBorder="1" applyAlignment="1">
      <alignment horizontal="right" vertical="center"/>
      <protection/>
    </xf>
    <xf numFmtId="3" fontId="18" fillId="33" borderId="0" xfId="60" applyNumberFormat="1" applyFont="1" applyFill="1" applyBorder="1" applyAlignment="1">
      <alignment vertical="center"/>
      <protection/>
    </xf>
    <xf numFmtId="0" fontId="5" fillId="33" borderId="0" xfId="61" applyFont="1" applyFill="1" applyAlignment="1">
      <alignment horizontal="right" vertical="center"/>
      <protection/>
    </xf>
    <xf numFmtId="3" fontId="13" fillId="33" borderId="0" xfId="59" applyNumberFormat="1" applyFont="1" applyFill="1" applyBorder="1" applyAlignment="1">
      <alignment horizontal="center"/>
      <protection/>
    </xf>
    <xf numFmtId="3" fontId="5" fillId="33" borderId="0" xfId="59" applyNumberFormat="1" applyFont="1" applyFill="1" applyBorder="1" applyAlignment="1">
      <alignment horizontal="left" vertical="center" wrapText="1"/>
      <protection/>
    </xf>
    <xf numFmtId="3" fontId="13" fillId="33" borderId="0" xfId="60" applyNumberFormat="1" applyFont="1" applyFill="1" applyAlignment="1">
      <alignment vertical="center"/>
      <protection/>
    </xf>
    <xf numFmtId="3" fontId="7" fillId="33" borderId="0" xfId="0" applyNumberFormat="1" applyFont="1" applyFill="1" applyBorder="1" applyAlignment="1">
      <alignment vertical="center"/>
    </xf>
    <xf numFmtId="3" fontId="106" fillId="33" borderId="0" xfId="0" applyNumberFormat="1" applyFont="1" applyFill="1" applyBorder="1" applyAlignment="1">
      <alignment vertical="center"/>
    </xf>
    <xf numFmtId="3" fontId="107" fillId="33" borderId="0" xfId="0" applyNumberFormat="1" applyFont="1" applyFill="1" applyAlignment="1">
      <alignment vertical="center"/>
    </xf>
    <xf numFmtId="3" fontId="12" fillId="33" borderId="0" xfId="60" applyNumberFormat="1" applyFont="1" applyFill="1" applyBorder="1" applyAlignment="1">
      <alignment horizontal="left" vertical="center"/>
      <protection/>
    </xf>
    <xf numFmtId="0" fontId="13" fillId="0" borderId="0" xfId="61" applyFont="1" applyFill="1" applyAlignment="1">
      <alignment vertical="center"/>
      <protection/>
    </xf>
    <xf numFmtId="3" fontId="4" fillId="0" borderId="0" xfId="60" applyNumberFormat="1" applyFont="1" applyFill="1" applyBorder="1" applyAlignment="1">
      <alignment horizontal="center" vertical="center"/>
      <protection/>
    </xf>
    <xf numFmtId="3" fontId="5" fillId="33" borderId="0" xfId="60" applyNumberFormat="1" applyFont="1" applyFill="1" applyAlignment="1">
      <alignment horizontal="center" vertical="center" wrapText="1"/>
      <protection/>
    </xf>
    <xf numFmtId="3" fontId="9" fillId="33" borderId="17" xfId="60" applyNumberFormat="1" applyFont="1" applyFill="1" applyBorder="1" applyAlignment="1">
      <alignment horizontal="center" vertical="center"/>
      <protection/>
    </xf>
    <xf numFmtId="3" fontId="9" fillId="33" borderId="17" xfId="60" applyNumberFormat="1" applyFont="1" applyFill="1" applyBorder="1" applyAlignment="1">
      <alignment horizontal="right" vertical="center"/>
      <protection/>
    </xf>
    <xf numFmtId="3" fontId="9" fillId="33" borderId="0" xfId="60" applyNumberFormat="1" applyFont="1" applyFill="1" applyBorder="1" applyAlignment="1">
      <alignment horizontal="center" vertical="center"/>
      <protection/>
    </xf>
    <xf numFmtId="3" fontId="9" fillId="33" borderId="0" xfId="60" applyNumberFormat="1" applyFont="1" applyFill="1" applyBorder="1" applyAlignment="1">
      <alignment horizontal="right" vertical="center"/>
      <protection/>
    </xf>
    <xf numFmtId="0" fontId="7" fillId="33" borderId="0" xfId="61" applyFont="1" applyFill="1" applyBorder="1" applyAlignment="1">
      <alignment horizontal="left" vertical="center"/>
      <protection/>
    </xf>
    <xf numFmtId="3" fontId="108" fillId="33" borderId="0" xfId="59" applyNumberFormat="1" applyFont="1" applyFill="1" applyBorder="1" applyAlignment="1">
      <alignment vertical="center"/>
      <protection/>
    </xf>
    <xf numFmtId="3" fontId="109" fillId="33" borderId="0" xfId="59" applyNumberFormat="1" applyFont="1" applyFill="1" applyBorder="1" applyAlignment="1">
      <alignment vertical="center"/>
      <protection/>
    </xf>
    <xf numFmtId="3" fontId="110" fillId="33" borderId="0" xfId="59" applyNumberFormat="1" applyFont="1" applyFill="1" applyBorder="1" applyAlignment="1">
      <alignment vertical="center"/>
      <protection/>
    </xf>
    <xf numFmtId="0" fontId="8" fillId="33" borderId="0" xfId="0" applyFont="1" applyFill="1" applyAlignment="1">
      <alignment vertical="center"/>
    </xf>
    <xf numFmtId="0" fontId="19" fillId="33" borderId="0" xfId="60" applyFont="1" applyFill="1" applyAlignment="1">
      <alignment horizontal="center" vertical="center"/>
      <protection/>
    </xf>
    <xf numFmtId="0" fontId="7" fillId="33" borderId="0" xfId="61" applyFont="1" applyFill="1" applyBorder="1" applyAlignment="1">
      <alignment horizontal="left" vertical="center"/>
      <protection/>
    </xf>
    <xf numFmtId="3" fontId="19" fillId="33" borderId="0" xfId="60" applyNumberFormat="1" applyFont="1" applyFill="1" applyAlignment="1">
      <alignment horizontal="center" vertical="center"/>
      <protection/>
    </xf>
    <xf numFmtId="3" fontId="111" fillId="33" borderId="0" xfId="59" applyNumberFormat="1" applyFont="1" applyFill="1" applyBorder="1" applyAlignment="1">
      <alignment horizontal="right" vertical="center"/>
      <protection/>
    </xf>
    <xf numFmtId="3" fontId="112" fillId="33" borderId="0" xfId="59" applyNumberFormat="1" applyFont="1" applyFill="1" applyBorder="1" applyAlignment="1">
      <alignment horizontal="left" vertical="center" wrapText="1"/>
      <protection/>
    </xf>
    <xf numFmtId="3" fontId="113" fillId="33" borderId="0" xfId="59" applyNumberFormat="1" applyFont="1" applyFill="1" applyBorder="1" applyAlignment="1">
      <alignment horizontal="center" vertical="center" wrapText="1"/>
      <protection/>
    </xf>
    <xf numFmtId="49" fontId="114" fillId="33" borderId="0" xfId="59" applyNumberFormat="1" applyFont="1" applyFill="1" applyBorder="1" applyAlignment="1">
      <alignment horizontal="left" vertical="center" wrapText="1"/>
      <protection/>
    </xf>
    <xf numFmtId="3" fontId="114" fillId="33" borderId="0" xfId="59" applyNumberFormat="1" applyFont="1" applyFill="1" applyBorder="1" applyAlignment="1">
      <alignment vertical="center"/>
      <protection/>
    </xf>
    <xf numFmtId="3" fontId="115" fillId="33" borderId="0" xfId="59" applyNumberFormat="1" applyFont="1" applyFill="1" applyBorder="1" applyAlignment="1">
      <alignment horizontal="center" vertical="center"/>
      <protection/>
    </xf>
    <xf numFmtId="3" fontId="116" fillId="0" borderId="0" xfId="59" applyNumberFormat="1" applyFont="1" applyFill="1" applyBorder="1" applyAlignment="1">
      <alignment vertical="center"/>
      <protection/>
    </xf>
    <xf numFmtId="3" fontId="116" fillId="0" borderId="0" xfId="59" applyNumberFormat="1" applyFont="1" applyFill="1" applyAlignment="1">
      <alignment vertical="center"/>
      <protection/>
    </xf>
    <xf numFmtId="3" fontId="106" fillId="33" borderId="0" xfId="59" applyNumberFormat="1" applyFont="1" applyFill="1" applyAlignment="1">
      <alignment horizontal="right" vertical="center"/>
      <protection/>
    </xf>
    <xf numFmtId="3" fontId="117" fillId="33" borderId="0" xfId="60" applyNumberFormat="1" applyFont="1" applyFill="1" applyAlignment="1">
      <alignment vertical="center"/>
      <protection/>
    </xf>
    <xf numFmtId="3" fontId="117" fillId="33" borderId="0" xfId="60" applyNumberFormat="1" applyFont="1" applyFill="1" applyBorder="1" applyAlignment="1">
      <alignment horizontal="right" vertical="center"/>
      <protection/>
    </xf>
    <xf numFmtId="3" fontId="116" fillId="33" borderId="0" xfId="59" applyNumberFormat="1" applyFont="1" applyFill="1" applyBorder="1" applyAlignment="1">
      <alignment vertical="center"/>
      <protection/>
    </xf>
    <xf numFmtId="3" fontId="116" fillId="33" borderId="0" xfId="0" applyNumberFormat="1" applyFont="1" applyFill="1" applyBorder="1" applyAlignment="1">
      <alignment vertical="center"/>
    </xf>
    <xf numFmtId="3" fontId="21" fillId="33" borderId="15" xfId="59" applyNumberFormat="1" applyFont="1" applyFill="1" applyBorder="1" applyAlignment="1">
      <alignment horizontal="center" vertical="center" wrapText="1"/>
      <protection/>
    </xf>
    <xf numFmtId="3" fontId="109" fillId="33" borderId="0" xfId="59" applyNumberFormat="1" applyFont="1" applyFill="1" applyBorder="1" applyAlignment="1">
      <alignment horizontal="right" vertical="center"/>
      <protection/>
    </xf>
    <xf numFmtId="3" fontId="8" fillId="35" borderId="0" xfId="59" applyNumberFormat="1" applyFont="1" applyFill="1" applyBorder="1" applyAlignment="1">
      <alignment vertical="center"/>
      <protection/>
    </xf>
    <xf numFmtId="0" fontId="13" fillId="0" borderId="17" xfId="0" applyFont="1" applyFill="1" applyBorder="1" applyAlignment="1">
      <alignment horizontal="center" vertical="center"/>
    </xf>
    <xf numFmtId="0" fontId="36" fillId="0" borderId="13" xfId="0" applyFont="1" applyFill="1" applyBorder="1" applyAlignment="1">
      <alignment horizontal="left" vertical="center" wrapText="1"/>
    </xf>
    <xf numFmtId="0" fontId="26" fillId="0" borderId="13" xfId="61" applyFont="1" applyFill="1" applyBorder="1" applyAlignment="1">
      <alignment horizontal="center" vertical="center" wrapText="1"/>
      <protection/>
    </xf>
    <xf numFmtId="3" fontId="13" fillId="0" borderId="13" xfId="61" applyNumberFormat="1" applyFont="1" applyFill="1" applyBorder="1" applyAlignment="1">
      <alignment horizontal="center" vertical="center" wrapText="1"/>
      <protection/>
    </xf>
    <xf numFmtId="3" fontId="13" fillId="0" borderId="13" xfId="0" applyNumberFormat="1" applyFont="1" applyFill="1" applyBorder="1" applyAlignment="1">
      <alignment horizontal="center" vertical="center" wrapText="1"/>
    </xf>
    <xf numFmtId="3" fontId="13" fillId="0" borderId="17" xfId="61" applyNumberFormat="1" applyFont="1" applyFill="1" applyBorder="1" applyAlignment="1">
      <alignment vertical="center" wrapText="1"/>
      <protection/>
    </xf>
    <xf numFmtId="3" fontId="13" fillId="0" borderId="13" xfId="61" applyNumberFormat="1" applyFont="1" applyFill="1" applyBorder="1" applyAlignment="1">
      <alignment vertical="center" wrapText="1"/>
      <protection/>
    </xf>
    <xf numFmtId="3" fontId="7" fillId="0" borderId="13" xfId="61" applyNumberFormat="1" applyFont="1" applyFill="1" applyBorder="1" applyAlignment="1">
      <alignment horizontal="right" vertical="center" wrapText="1"/>
      <protection/>
    </xf>
    <xf numFmtId="3" fontId="7" fillId="0" borderId="17" xfId="61" applyNumberFormat="1" applyFont="1" applyFill="1" applyBorder="1" applyAlignment="1">
      <alignment horizontal="right" vertical="center" wrapText="1"/>
      <protection/>
    </xf>
    <xf numFmtId="3" fontId="13" fillId="0" borderId="17" xfId="61" applyNumberFormat="1" applyFont="1" applyFill="1" applyBorder="1" applyAlignment="1">
      <alignment horizontal="right" vertical="center" wrapText="1"/>
      <protection/>
    </xf>
    <xf numFmtId="49" fontId="14" fillId="0" borderId="0" xfId="61" applyNumberFormat="1" applyFont="1" applyFill="1" applyBorder="1" applyAlignment="1">
      <alignment horizontal="center" vertical="center"/>
      <protection/>
    </xf>
    <xf numFmtId="3" fontId="8" fillId="0" borderId="13" xfId="60" applyNumberFormat="1" applyFont="1" applyFill="1" applyBorder="1" applyAlignment="1">
      <alignment horizontal="center" vertical="center" wrapText="1"/>
      <protection/>
    </xf>
    <xf numFmtId="0" fontId="13" fillId="0" borderId="13" xfId="61" applyNumberFormat="1" applyFont="1" applyFill="1" applyBorder="1" applyAlignment="1">
      <alignment horizontal="left" vertical="center" wrapText="1"/>
      <protection/>
    </xf>
    <xf numFmtId="0" fontId="26" fillId="0" borderId="13" xfId="61" applyNumberFormat="1" applyFont="1" applyFill="1" applyBorder="1" applyAlignment="1">
      <alignment horizontal="center" vertical="center" wrapText="1"/>
      <protection/>
    </xf>
    <xf numFmtId="3" fontId="12" fillId="0" borderId="13" xfId="60" applyNumberFormat="1" applyFont="1" applyFill="1" applyBorder="1" applyAlignment="1">
      <alignment horizontal="right" vertical="center" wrapText="1"/>
      <protection/>
    </xf>
    <xf numFmtId="3" fontId="12" fillId="0" borderId="13" xfId="58" applyNumberFormat="1" applyFont="1" applyFill="1" applyBorder="1" applyAlignment="1">
      <alignment horizontal="right" vertical="center" wrapText="1"/>
      <protection/>
    </xf>
    <xf numFmtId="3" fontId="12" fillId="0" borderId="13" xfId="60" applyNumberFormat="1" applyFont="1" applyFill="1" applyBorder="1" applyAlignment="1">
      <alignment horizontal="right" vertical="center"/>
      <protection/>
    </xf>
    <xf numFmtId="49" fontId="5" fillId="0" borderId="0" xfId="60" applyNumberFormat="1" applyFont="1" applyFill="1" applyAlignment="1">
      <alignment horizontal="center" vertical="center"/>
      <protection/>
    </xf>
    <xf numFmtId="3" fontId="13" fillId="0" borderId="13" xfId="0" applyNumberFormat="1" applyFont="1" applyFill="1" applyBorder="1" applyAlignment="1">
      <alignment vertical="center"/>
    </xf>
    <xf numFmtId="3" fontId="13" fillId="0" borderId="10" xfId="0" applyNumberFormat="1" applyFont="1" applyFill="1" applyBorder="1" applyAlignment="1">
      <alignment vertical="center"/>
    </xf>
    <xf numFmtId="3" fontId="13" fillId="0" borderId="13" xfId="59" applyNumberFormat="1" applyFont="1" applyFill="1" applyBorder="1" applyAlignment="1">
      <alignment vertical="center"/>
      <protection/>
    </xf>
    <xf numFmtId="3" fontId="14" fillId="0" borderId="0" xfId="59" applyNumberFormat="1" applyFont="1" applyFill="1" applyBorder="1" applyAlignment="1">
      <alignment horizontal="right" vertical="center"/>
      <protection/>
    </xf>
    <xf numFmtId="0" fontId="13" fillId="0" borderId="13" xfId="0" applyFont="1" applyFill="1" applyBorder="1" applyAlignment="1">
      <alignment horizontal="left" vertical="center" wrapText="1"/>
    </xf>
    <xf numFmtId="3" fontId="13" fillId="0" borderId="13" xfId="0" applyNumberFormat="1" applyFont="1" applyFill="1" applyBorder="1" applyAlignment="1">
      <alignment horizontal="right" vertical="center" wrapText="1"/>
    </xf>
    <xf numFmtId="3" fontId="13" fillId="0" borderId="13" xfId="61" applyNumberFormat="1" applyFont="1" applyFill="1" applyBorder="1" applyAlignment="1">
      <alignment horizontal="right" vertical="center" wrapText="1"/>
      <protection/>
    </xf>
    <xf numFmtId="3" fontId="13" fillId="0" borderId="21" xfId="61" applyNumberFormat="1" applyFont="1" applyFill="1" applyBorder="1" applyAlignment="1">
      <alignment vertical="center" wrapText="1"/>
      <protection/>
    </xf>
    <xf numFmtId="0" fontId="8" fillId="0" borderId="13" xfId="61" applyFont="1" applyFill="1" applyBorder="1" applyAlignment="1">
      <alignment horizontal="center" vertical="center"/>
      <protection/>
    </xf>
    <xf numFmtId="3" fontId="12" fillId="0" borderId="13" xfId="60" applyNumberFormat="1" applyFont="1" applyFill="1" applyBorder="1" applyAlignment="1">
      <alignment horizontal="left" vertical="center" wrapText="1"/>
      <protection/>
    </xf>
    <xf numFmtId="3" fontId="26" fillId="0" borderId="13" xfId="60" applyNumberFormat="1" applyFont="1" applyFill="1" applyBorder="1" applyAlignment="1">
      <alignment horizontal="center" vertical="center" wrapText="1"/>
      <protection/>
    </xf>
    <xf numFmtId="3" fontId="12" fillId="0" borderId="13" xfId="60" applyNumberFormat="1" applyFont="1" applyFill="1" applyBorder="1" applyAlignment="1">
      <alignment vertical="center"/>
      <protection/>
    </xf>
    <xf numFmtId="3" fontId="12" fillId="0" borderId="13" xfId="60" applyNumberFormat="1" applyFont="1" applyFill="1" applyBorder="1" applyAlignment="1">
      <alignment vertical="center" wrapText="1"/>
      <protection/>
    </xf>
    <xf numFmtId="3" fontId="12" fillId="0" borderId="13" xfId="60" applyNumberFormat="1" applyFont="1" applyFill="1" applyBorder="1" applyAlignment="1">
      <alignment horizontal="center" vertical="center"/>
      <protection/>
    </xf>
    <xf numFmtId="0" fontId="18" fillId="0" borderId="13" xfId="60"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13" fillId="0" borderId="17" xfId="0" applyFont="1" applyFill="1" applyBorder="1" applyAlignment="1">
      <alignment horizontal="left" vertical="center" wrapText="1"/>
    </xf>
    <xf numFmtId="3" fontId="13" fillId="0" borderId="17" xfId="0" applyNumberFormat="1" applyFont="1" applyFill="1" applyBorder="1" applyAlignment="1">
      <alignment horizontal="right" vertical="center" wrapText="1"/>
    </xf>
    <xf numFmtId="3" fontId="12" fillId="0" borderId="17" xfId="58" applyNumberFormat="1" applyFont="1" applyFill="1" applyBorder="1" applyAlignment="1">
      <alignment horizontal="right" vertical="center" wrapText="1"/>
      <protection/>
    </xf>
    <xf numFmtId="3" fontId="12" fillId="0" borderId="17" xfId="60" applyNumberFormat="1" applyFont="1" applyFill="1" applyBorder="1" applyAlignment="1">
      <alignment horizontal="right" vertical="center"/>
      <protection/>
    </xf>
    <xf numFmtId="3" fontId="12" fillId="0" borderId="17" xfId="60" applyNumberFormat="1" applyFont="1" applyFill="1" applyBorder="1" applyAlignment="1">
      <alignment vertical="center"/>
      <protection/>
    </xf>
    <xf numFmtId="49" fontId="14" fillId="0" borderId="0" xfId="60" applyNumberFormat="1" applyFont="1" applyFill="1" applyBorder="1" applyAlignment="1">
      <alignment horizontal="center" vertical="center"/>
      <protection/>
    </xf>
    <xf numFmtId="49" fontId="14" fillId="0" borderId="0" xfId="60" applyNumberFormat="1" applyFont="1" applyFill="1" applyAlignment="1">
      <alignment horizontal="center" vertical="center"/>
      <protection/>
    </xf>
    <xf numFmtId="3" fontId="12" fillId="0" borderId="13" xfId="60" applyNumberFormat="1" applyFont="1" applyFill="1" applyBorder="1" applyAlignment="1">
      <alignment horizontal="center" vertical="center" wrapText="1"/>
      <protection/>
    </xf>
    <xf numFmtId="3" fontId="18" fillId="0" borderId="13" xfId="60" applyNumberFormat="1" applyFont="1" applyFill="1" applyBorder="1" applyAlignment="1">
      <alignment horizontal="center" vertical="center" wrapText="1"/>
      <protection/>
    </xf>
    <xf numFmtId="3" fontId="26" fillId="0" borderId="17" xfId="60" applyNumberFormat="1" applyFont="1" applyFill="1" applyBorder="1" applyAlignment="1">
      <alignment horizontal="center" vertical="center" wrapText="1"/>
      <protection/>
    </xf>
    <xf numFmtId="3" fontId="20" fillId="0" borderId="0" xfId="0" applyNumberFormat="1" applyFont="1" applyFill="1" applyBorder="1" applyAlignment="1">
      <alignment horizontal="center" vertical="center"/>
    </xf>
    <xf numFmtId="1" fontId="13" fillId="0" borderId="13" xfId="61" applyNumberFormat="1" applyFont="1" applyFill="1" applyBorder="1" applyAlignment="1">
      <alignment horizontal="left" vertical="center" wrapText="1"/>
      <protection/>
    </xf>
    <xf numFmtId="0" fontId="37" fillId="0" borderId="13" xfId="0" applyFont="1" applyFill="1" applyBorder="1" applyAlignment="1">
      <alignment vertical="center" wrapText="1"/>
    </xf>
    <xf numFmtId="3" fontId="13" fillId="0" borderId="13" xfId="61" applyNumberFormat="1" applyFont="1" applyFill="1" applyBorder="1" applyAlignment="1">
      <alignment horizontal="left" vertical="center" wrapText="1"/>
      <protection/>
    </xf>
    <xf numFmtId="3" fontId="13" fillId="0" borderId="0" xfId="0" applyNumberFormat="1" applyFont="1" applyFill="1" applyBorder="1" applyAlignment="1">
      <alignment vertical="center"/>
    </xf>
    <xf numFmtId="3" fontId="13" fillId="0" borderId="0" xfId="59" applyNumberFormat="1" applyFont="1" applyFill="1" applyBorder="1" applyAlignment="1">
      <alignment vertical="center"/>
      <protection/>
    </xf>
    <xf numFmtId="0" fontId="13" fillId="0" borderId="13" xfId="0" applyFont="1" applyFill="1" applyBorder="1" applyAlignment="1">
      <alignment horizontal="center" vertical="center"/>
    </xf>
    <xf numFmtId="3" fontId="13" fillId="0" borderId="13" xfId="59" applyNumberFormat="1" applyFont="1" applyFill="1" applyBorder="1" applyAlignment="1">
      <alignment horizontal="right" vertical="center"/>
      <protection/>
    </xf>
    <xf numFmtId="3" fontId="13" fillId="0" borderId="13" xfId="60" applyNumberFormat="1" applyFont="1" applyFill="1" applyBorder="1" applyAlignment="1">
      <alignment vertical="center" wrapText="1"/>
      <protection/>
    </xf>
    <xf numFmtId="3" fontId="13" fillId="0" borderId="13" xfId="60" applyNumberFormat="1" applyFont="1" applyFill="1" applyBorder="1" applyAlignment="1">
      <alignment horizontal="right" vertical="center" wrapText="1"/>
      <protection/>
    </xf>
    <xf numFmtId="0" fontId="26" fillId="0" borderId="17" xfId="61" applyFont="1" applyFill="1" applyBorder="1" applyAlignment="1">
      <alignment horizontal="center" vertical="center" wrapText="1"/>
      <protection/>
    </xf>
    <xf numFmtId="3" fontId="17" fillId="0" borderId="13" xfId="59" applyNumberFormat="1" applyFont="1" applyFill="1" applyBorder="1" applyAlignment="1">
      <alignment vertical="center"/>
      <protection/>
    </xf>
    <xf numFmtId="3" fontId="26" fillId="0" borderId="0" xfId="59" applyNumberFormat="1" applyFont="1" applyFill="1" applyBorder="1" applyAlignment="1">
      <alignment horizontal="right" vertical="center"/>
      <protection/>
    </xf>
    <xf numFmtId="3" fontId="13" fillId="0" borderId="13" xfId="0" applyNumberFormat="1" applyFont="1" applyFill="1" applyBorder="1" applyAlignment="1">
      <alignment vertical="center" wrapText="1"/>
    </xf>
    <xf numFmtId="3" fontId="13" fillId="0" borderId="13" xfId="61" applyNumberFormat="1" applyFont="1" applyFill="1" applyBorder="1" applyAlignment="1">
      <alignment horizontal="right" vertical="center"/>
      <protection/>
    </xf>
    <xf numFmtId="3" fontId="8" fillId="0" borderId="13" xfId="60" applyNumberFormat="1" applyFont="1" applyFill="1" applyBorder="1" applyAlignment="1">
      <alignment vertical="center"/>
      <protection/>
    </xf>
    <xf numFmtId="3" fontId="8" fillId="0" borderId="13" xfId="60" applyNumberFormat="1" applyFont="1" applyFill="1" applyBorder="1" applyAlignment="1">
      <alignment vertical="center" wrapText="1"/>
      <protection/>
    </xf>
    <xf numFmtId="3" fontId="8" fillId="0" borderId="13" xfId="61" applyNumberFormat="1" applyFont="1" applyFill="1" applyBorder="1" applyAlignment="1">
      <alignment vertical="center"/>
      <protection/>
    </xf>
    <xf numFmtId="49" fontId="14" fillId="0" borderId="0" xfId="61" applyNumberFormat="1" applyFont="1" applyFill="1" applyAlignment="1">
      <alignment horizontal="center" vertical="center"/>
      <protection/>
    </xf>
    <xf numFmtId="0" fontId="5" fillId="0" borderId="13" xfId="61" applyNumberFormat="1" applyFont="1" applyFill="1" applyBorder="1" applyAlignment="1">
      <alignment horizontal="center" vertical="center" wrapText="1"/>
      <protection/>
    </xf>
    <xf numFmtId="0" fontId="37"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12" fillId="0" borderId="16" xfId="60" applyNumberFormat="1" applyFont="1" applyFill="1" applyBorder="1" applyAlignment="1">
      <alignment vertical="center"/>
      <protection/>
    </xf>
    <xf numFmtId="3" fontId="12" fillId="0" borderId="24" xfId="60" applyNumberFormat="1" applyFont="1" applyFill="1" applyBorder="1" applyAlignment="1">
      <alignment vertical="center"/>
      <protection/>
    </xf>
    <xf numFmtId="3" fontId="14" fillId="0" borderId="0" xfId="0" applyNumberFormat="1" applyFont="1" applyFill="1" applyAlignment="1">
      <alignment horizontal="right" vertical="center"/>
    </xf>
    <xf numFmtId="0" fontId="37" fillId="0" borderId="17" xfId="0" applyFont="1" applyFill="1" applyBorder="1" applyAlignment="1">
      <alignment horizontal="left" vertical="center" wrapText="1"/>
    </xf>
    <xf numFmtId="3" fontId="13" fillId="0" borderId="25" xfId="61" applyNumberFormat="1" applyFont="1" applyFill="1" applyBorder="1" applyAlignment="1">
      <alignment horizontal="left" vertical="center" wrapText="1"/>
      <protection/>
    </xf>
    <xf numFmtId="3" fontId="7" fillId="33" borderId="0" xfId="0" applyNumberFormat="1" applyFont="1" applyFill="1" applyBorder="1" applyAlignment="1">
      <alignment horizontal="left" vertical="center" wrapText="1"/>
    </xf>
    <xf numFmtId="49" fontId="7" fillId="33" borderId="0" xfId="59" applyNumberFormat="1" applyFont="1" applyFill="1" applyAlignment="1">
      <alignment horizontal="left" vertical="center" wrapText="1"/>
      <protection/>
    </xf>
    <xf numFmtId="49" fontId="8" fillId="33" borderId="0" xfId="59" applyNumberFormat="1" applyFont="1" applyFill="1" applyAlignment="1">
      <alignment horizontal="left" vertical="center" wrapText="1"/>
      <protection/>
    </xf>
    <xf numFmtId="0" fontId="19" fillId="33" borderId="0" xfId="60" applyFont="1" applyFill="1" applyAlignment="1">
      <alignment horizontal="center" vertical="center"/>
      <protection/>
    </xf>
    <xf numFmtId="3" fontId="14" fillId="33" borderId="0" xfId="59" applyNumberFormat="1" applyFont="1" applyFill="1" applyBorder="1" applyAlignment="1">
      <alignment vertical="center"/>
      <protection/>
    </xf>
    <xf numFmtId="3" fontId="7" fillId="33" borderId="0" xfId="59" applyNumberFormat="1" applyFont="1" applyFill="1" applyBorder="1" applyAlignment="1">
      <alignment horizontal="right" vertical="center"/>
      <protection/>
    </xf>
    <xf numFmtId="3" fontId="7" fillId="33" borderId="0" xfId="0" applyNumberFormat="1" applyFont="1" applyFill="1" applyAlignment="1">
      <alignment horizontal="right" vertical="center"/>
    </xf>
    <xf numFmtId="3" fontId="20" fillId="33" borderId="0" xfId="0" applyNumberFormat="1" applyFont="1" applyFill="1" applyAlignment="1" quotePrefix="1">
      <alignment horizontal="right" vertical="center"/>
    </xf>
    <xf numFmtId="3" fontId="7" fillId="33" borderId="0" xfId="0" applyNumberFormat="1" applyFont="1" applyFill="1" applyAlignment="1">
      <alignment vertical="center"/>
    </xf>
    <xf numFmtId="3" fontId="118" fillId="33" borderId="0" xfId="60" applyNumberFormat="1" applyFont="1" applyFill="1" applyAlignment="1">
      <alignment vertical="center"/>
      <protection/>
    </xf>
    <xf numFmtId="0" fontId="114" fillId="33" borderId="0" xfId="61" applyFont="1" applyFill="1" applyAlignment="1">
      <alignment vertical="center"/>
      <protection/>
    </xf>
    <xf numFmtId="0" fontId="118" fillId="33" borderId="0" xfId="61" applyFont="1" applyFill="1" applyAlignment="1">
      <alignment vertical="center"/>
      <protection/>
    </xf>
    <xf numFmtId="3" fontId="118" fillId="33" borderId="0" xfId="59" applyNumberFormat="1" applyFont="1" applyFill="1" applyBorder="1" applyAlignment="1">
      <alignment horizontal="center" vertical="center"/>
      <protection/>
    </xf>
    <xf numFmtId="3" fontId="118" fillId="33" borderId="0" xfId="59" applyNumberFormat="1" applyFont="1" applyFill="1" applyBorder="1" applyAlignment="1">
      <alignment vertical="center"/>
      <protection/>
    </xf>
    <xf numFmtId="3" fontId="118" fillId="33" borderId="0" xfId="57" applyNumberFormat="1" applyFont="1" applyFill="1" applyAlignment="1">
      <alignment horizontal="center" vertical="center"/>
      <protection/>
    </xf>
    <xf numFmtId="3" fontId="109" fillId="33" borderId="0" xfId="60" applyNumberFormat="1" applyFont="1" applyFill="1" applyAlignment="1">
      <alignment vertical="center"/>
      <protection/>
    </xf>
    <xf numFmtId="3" fontId="109" fillId="33" borderId="0" xfId="59" applyNumberFormat="1" applyFont="1" applyFill="1" applyBorder="1" applyAlignment="1">
      <alignment horizontal="center" vertical="center"/>
      <protection/>
    </xf>
    <xf numFmtId="0" fontId="114" fillId="33" borderId="0" xfId="61" applyFont="1" applyFill="1" applyAlignment="1">
      <alignment horizontal="center" vertical="center"/>
      <protection/>
    </xf>
    <xf numFmtId="3" fontId="7" fillId="33" borderId="0" xfId="59" applyNumberFormat="1" applyFont="1" applyFill="1" applyAlignment="1" quotePrefix="1">
      <alignment vertical="center"/>
      <protection/>
    </xf>
    <xf numFmtId="3" fontId="108" fillId="33" borderId="0" xfId="0" applyNumberFormat="1" applyFont="1" applyFill="1" applyBorder="1" applyAlignment="1">
      <alignment vertical="center"/>
    </xf>
    <xf numFmtId="3" fontId="7" fillId="36" borderId="0" xfId="59" applyNumberFormat="1" applyFont="1" applyFill="1" applyAlignment="1">
      <alignment vertical="center"/>
      <protection/>
    </xf>
    <xf numFmtId="3" fontId="7" fillId="36" borderId="13" xfId="59" applyNumberFormat="1" applyFont="1" applyFill="1" applyBorder="1" applyAlignment="1">
      <alignment vertical="center"/>
      <protection/>
    </xf>
    <xf numFmtId="3" fontId="7" fillId="36" borderId="13" xfId="0" applyNumberFormat="1" applyFont="1" applyFill="1" applyBorder="1" applyAlignment="1">
      <alignment vertical="center"/>
    </xf>
    <xf numFmtId="3" fontId="7" fillId="36" borderId="0" xfId="0" applyNumberFormat="1" applyFont="1" applyFill="1" applyAlignment="1">
      <alignment vertical="center"/>
    </xf>
    <xf numFmtId="3" fontId="7" fillId="36" borderId="12" xfId="0" applyNumberFormat="1" applyFont="1" applyFill="1" applyBorder="1" applyAlignment="1">
      <alignment vertical="center"/>
    </xf>
    <xf numFmtId="3" fontId="7" fillId="36" borderId="0" xfId="0" applyNumberFormat="1" applyFont="1" applyFill="1" applyAlignment="1" quotePrefix="1">
      <alignment vertical="center"/>
    </xf>
    <xf numFmtId="3" fontId="7" fillId="36" borderId="0" xfId="59" applyNumberFormat="1" applyFont="1" applyFill="1" applyAlignment="1" quotePrefix="1">
      <alignment vertical="center"/>
      <protection/>
    </xf>
    <xf numFmtId="3" fontId="7" fillId="36" borderId="0" xfId="59" applyNumberFormat="1" applyFont="1" applyFill="1" applyAlignment="1">
      <alignment horizontal="right" vertical="center"/>
      <protection/>
    </xf>
    <xf numFmtId="3" fontId="20" fillId="36" borderId="0" xfId="0" applyNumberFormat="1" applyFont="1" applyFill="1" applyAlignment="1" quotePrefix="1">
      <alignment horizontal="right" vertical="center"/>
    </xf>
    <xf numFmtId="3" fontId="7" fillId="36" borderId="0" xfId="0" applyNumberFormat="1" applyFont="1" applyFill="1" applyAlignment="1">
      <alignment horizontal="right" vertical="center"/>
    </xf>
    <xf numFmtId="3" fontId="7" fillId="36" borderId="13" xfId="59" applyNumberFormat="1" applyFont="1" applyFill="1" applyBorder="1" applyAlignment="1">
      <alignment horizontal="right" vertical="center"/>
      <protection/>
    </xf>
    <xf numFmtId="3" fontId="21" fillId="36" borderId="15" xfId="59" applyNumberFormat="1" applyFont="1" applyFill="1" applyBorder="1" applyAlignment="1">
      <alignment horizontal="center" vertical="center"/>
      <protection/>
    </xf>
    <xf numFmtId="3" fontId="38" fillId="36" borderId="19" xfId="61" applyNumberFormat="1" applyFont="1" applyFill="1" applyBorder="1" applyAlignment="1">
      <alignment horizontal="center" vertical="center" wrapText="1"/>
      <protection/>
    </xf>
    <xf numFmtId="3" fontId="7" fillId="36" borderId="13" xfId="61" applyNumberFormat="1" applyFont="1" applyFill="1" applyBorder="1" applyAlignment="1">
      <alignment horizontal="right" vertical="center" wrapText="1"/>
      <protection/>
    </xf>
    <xf numFmtId="3" fontId="7" fillId="36" borderId="17" xfId="61" applyNumberFormat="1" applyFont="1" applyFill="1" applyBorder="1" applyAlignment="1">
      <alignment horizontal="right" vertical="center" wrapText="1"/>
      <protection/>
    </xf>
    <xf numFmtId="3" fontId="4" fillId="36" borderId="13" xfId="61" applyNumberFormat="1" applyFont="1" applyFill="1" applyBorder="1" applyAlignment="1">
      <alignment vertical="center"/>
      <protection/>
    </xf>
    <xf numFmtId="3" fontId="13" fillId="36" borderId="17" xfId="61" applyNumberFormat="1" applyFont="1" applyFill="1" applyBorder="1" applyAlignment="1">
      <alignment horizontal="right" vertical="center" wrapText="1"/>
      <protection/>
    </xf>
    <xf numFmtId="3" fontId="7" fillId="36" borderId="17" xfId="61" applyNumberFormat="1" applyFont="1" applyFill="1" applyBorder="1" applyAlignment="1">
      <alignment vertical="center" wrapText="1"/>
      <protection/>
    </xf>
    <xf numFmtId="3" fontId="4" fillId="36" borderId="13" xfId="58" applyNumberFormat="1" applyFont="1" applyFill="1" applyBorder="1" applyAlignment="1">
      <alignment horizontal="right" vertical="center" wrapText="1"/>
      <protection/>
    </xf>
    <xf numFmtId="3" fontId="4" fillId="36" borderId="17" xfId="57" applyNumberFormat="1" applyFont="1" applyFill="1" applyBorder="1" applyAlignment="1">
      <alignment horizontal="right" vertical="center"/>
      <protection/>
    </xf>
    <xf numFmtId="3" fontId="4" fillId="36" borderId="17" xfId="60" applyNumberFormat="1" applyFont="1" applyFill="1" applyBorder="1" applyAlignment="1">
      <alignment vertical="center"/>
      <protection/>
    </xf>
    <xf numFmtId="3" fontId="4" fillId="36" borderId="17" xfId="60" applyNumberFormat="1" applyFont="1" applyFill="1" applyBorder="1" applyAlignment="1">
      <alignment horizontal="right" vertical="center"/>
      <protection/>
    </xf>
    <xf numFmtId="3" fontId="4" fillId="36" borderId="13" xfId="60" applyNumberFormat="1" applyFont="1" applyFill="1" applyBorder="1" applyAlignment="1">
      <alignment horizontal="right" vertical="center" wrapText="1"/>
      <protection/>
    </xf>
    <xf numFmtId="0" fontId="19" fillId="33" borderId="0" xfId="60" applyFont="1" applyFill="1" applyAlignment="1">
      <alignment horizontal="center" vertical="center"/>
      <protection/>
    </xf>
    <xf numFmtId="3" fontId="4" fillId="36" borderId="13" xfId="60" applyNumberFormat="1" applyFont="1" applyFill="1" applyBorder="1" applyAlignment="1">
      <alignment horizontal="right" vertical="center"/>
      <protection/>
    </xf>
    <xf numFmtId="3" fontId="9" fillId="36" borderId="13" xfId="61" applyNumberFormat="1" applyFont="1" applyFill="1" applyBorder="1" applyAlignment="1">
      <alignment vertical="center"/>
      <protection/>
    </xf>
    <xf numFmtId="3" fontId="9" fillId="36" borderId="13" xfId="57" applyNumberFormat="1" applyFont="1" applyFill="1" applyBorder="1" applyAlignment="1">
      <alignment horizontal="right" vertical="center"/>
      <protection/>
    </xf>
    <xf numFmtId="0" fontId="23" fillId="33" borderId="0" xfId="0" applyFont="1" applyFill="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3" fontId="28" fillId="33" borderId="24" xfId="59" applyNumberFormat="1" applyFont="1" applyFill="1" applyBorder="1" applyAlignment="1">
      <alignment horizontal="center" vertical="center" wrapText="1"/>
      <protection/>
    </xf>
    <xf numFmtId="3" fontId="21" fillId="33" borderId="27" xfId="59" applyNumberFormat="1" applyFont="1" applyFill="1" applyBorder="1" applyAlignment="1">
      <alignment horizontal="center" vertical="center" wrapText="1"/>
      <protection/>
    </xf>
    <xf numFmtId="3" fontId="21" fillId="33" borderId="24" xfId="59" applyNumberFormat="1" applyFont="1" applyFill="1" applyBorder="1" applyAlignment="1">
      <alignment horizontal="center" vertical="center" wrapText="1"/>
      <protection/>
    </xf>
    <xf numFmtId="3" fontId="38" fillId="36" borderId="25" xfId="59" applyNumberFormat="1" applyFont="1" applyFill="1" applyBorder="1" applyAlignment="1">
      <alignment horizontal="center" vertical="center" wrapText="1"/>
      <protection/>
    </xf>
    <xf numFmtId="3" fontId="7" fillId="36" borderId="0" xfId="61" applyNumberFormat="1" applyFont="1" applyFill="1" applyBorder="1" applyAlignment="1">
      <alignment horizontal="right" vertical="center" wrapText="1"/>
      <protection/>
    </xf>
    <xf numFmtId="0" fontId="13" fillId="34" borderId="13" xfId="0" applyFont="1" applyFill="1" applyBorder="1" applyAlignment="1">
      <alignment horizontal="left" vertical="center" wrapText="1"/>
    </xf>
    <xf numFmtId="0" fontId="13" fillId="33" borderId="17" xfId="0" applyFont="1" applyFill="1" applyBorder="1" applyAlignment="1">
      <alignment horizontal="left" vertical="center" wrapText="1"/>
    </xf>
    <xf numFmtId="3" fontId="119" fillId="33" borderId="0" xfId="60" applyNumberFormat="1" applyFont="1" applyFill="1" applyBorder="1" applyAlignment="1">
      <alignment horizontal="center" vertical="center" wrapText="1"/>
      <protection/>
    </xf>
    <xf numFmtId="3" fontId="106" fillId="33" borderId="0" xfId="59" applyNumberFormat="1" applyFont="1" applyFill="1" applyBorder="1" applyAlignment="1">
      <alignment horizontal="right" vertical="center"/>
      <protection/>
    </xf>
    <xf numFmtId="3" fontId="117" fillId="33" borderId="0" xfId="60" applyNumberFormat="1" applyFont="1" applyFill="1" applyBorder="1" applyAlignment="1">
      <alignment vertical="center"/>
      <protection/>
    </xf>
    <xf numFmtId="3" fontId="120" fillId="33" borderId="0" xfId="59" applyNumberFormat="1" applyFont="1" applyFill="1" applyBorder="1" applyAlignment="1">
      <alignment vertical="center"/>
      <protection/>
    </xf>
    <xf numFmtId="3" fontId="121" fillId="33" borderId="0" xfId="59" applyNumberFormat="1" applyFont="1" applyFill="1" applyAlignment="1">
      <alignment vertical="center"/>
      <protection/>
    </xf>
    <xf numFmtId="170" fontId="106" fillId="33" borderId="0" xfId="44" applyFont="1" applyFill="1" applyBorder="1" applyAlignment="1">
      <alignment horizontal="center" vertical="center"/>
    </xf>
    <xf numFmtId="0" fontId="122" fillId="33" borderId="0" xfId="59" applyFont="1" applyFill="1" applyAlignment="1">
      <alignment horizontal="center" vertical="center"/>
      <protection/>
    </xf>
    <xf numFmtId="3" fontId="106" fillId="33" borderId="0" xfId="59" applyNumberFormat="1" applyFont="1" applyFill="1" applyAlignment="1">
      <alignment vertical="center"/>
      <protection/>
    </xf>
    <xf numFmtId="0" fontId="104" fillId="33" borderId="0" xfId="61" applyFont="1" applyFill="1" applyAlignment="1">
      <alignment vertical="center"/>
      <protection/>
    </xf>
    <xf numFmtId="3" fontId="106" fillId="33" borderId="0" xfId="59" applyNumberFormat="1" applyFont="1" applyFill="1" applyBorder="1" applyAlignment="1">
      <alignment horizontal="center" vertical="center"/>
      <protection/>
    </xf>
    <xf numFmtId="3" fontId="122" fillId="33" borderId="0" xfId="59" applyNumberFormat="1" applyFont="1" applyFill="1" applyBorder="1" applyAlignment="1">
      <alignment horizontal="center" vertical="center"/>
      <protection/>
    </xf>
    <xf numFmtId="0" fontId="123" fillId="33" borderId="0" xfId="61" applyFont="1" applyFill="1" applyAlignment="1">
      <alignment horizontal="left" vertical="center"/>
      <protection/>
    </xf>
    <xf numFmtId="3" fontId="104" fillId="33" borderId="0" xfId="60" applyNumberFormat="1" applyFont="1" applyFill="1" applyAlignment="1">
      <alignment horizontal="center" vertical="center"/>
      <protection/>
    </xf>
    <xf numFmtId="3" fontId="116" fillId="33" borderId="0" xfId="59" applyNumberFormat="1" applyFont="1" applyFill="1" applyBorder="1" applyAlignment="1">
      <alignment horizontal="center" vertical="center"/>
      <protection/>
    </xf>
    <xf numFmtId="0" fontId="122" fillId="33" borderId="0" xfId="0" applyFont="1" applyFill="1" applyAlignment="1">
      <alignment horizontal="center" vertical="center"/>
    </xf>
    <xf numFmtId="3" fontId="124" fillId="33" borderId="0" xfId="0" applyNumberFormat="1" applyFont="1" applyFill="1" applyAlignment="1">
      <alignment horizontal="right" vertical="center"/>
    </xf>
    <xf numFmtId="3" fontId="120" fillId="33" borderId="0" xfId="59" applyNumberFormat="1" applyFont="1" applyFill="1" applyBorder="1" applyAlignment="1">
      <alignment horizontal="left" vertical="center"/>
      <protection/>
    </xf>
    <xf numFmtId="3" fontId="123" fillId="33" borderId="0" xfId="59" applyNumberFormat="1" applyFont="1" applyFill="1" applyBorder="1" applyAlignment="1">
      <alignment vertical="center"/>
      <protection/>
    </xf>
    <xf numFmtId="3" fontId="120" fillId="33" borderId="0" xfId="59" applyNumberFormat="1" applyFont="1" applyFill="1" applyBorder="1" applyAlignment="1">
      <alignment horizontal="center" vertical="center"/>
      <protection/>
    </xf>
    <xf numFmtId="0" fontId="123" fillId="33" borderId="0" xfId="61" applyFont="1" applyFill="1" applyAlignment="1">
      <alignment horizontal="center" vertical="center"/>
      <protection/>
    </xf>
    <xf numFmtId="0" fontId="123" fillId="33" borderId="0" xfId="61" applyFont="1" applyFill="1" applyAlignment="1">
      <alignment vertical="center"/>
      <protection/>
    </xf>
    <xf numFmtId="3" fontId="104" fillId="33" borderId="0" xfId="59" applyNumberFormat="1" applyFont="1" applyFill="1" applyBorder="1" applyAlignment="1">
      <alignment horizontal="center" vertical="center"/>
      <protection/>
    </xf>
    <xf numFmtId="3" fontId="104" fillId="33" borderId="0" xfId="59" applyNumberFormat="1" applyFont="1" applyFill="1" applyBorder="1" applyAlignment="1">
      <alignment vertical="center"/>
      <protection/>
    </xf>
    <xf numFmtId="3" fontId="106" fillId="33" borderId="0" xfId="59" applyNumberFormat="1" applyFont="1" applyFill="1" applyBorder="1" applyAlignment="1">
      <alignment vertical="center"/>
      <protection/>
    </xf>
    <xf numFmtId="3" fontId="123" fillId="33" borderId="0" xfId="60" applyNumberFormat="1" applyFont="1" applyFill="1" applyAlignment="1">
      <alignment horizontal="left" vertical="center"/>
      <protection/>
    </xf>
    <xf numFmtId="3" fontId="106" fillId="33" borderId="0" xfId="60" applyNumberFormat="1" applyFont="1" applyFill="1" applyAlignment="1">
      <alignment vertical="center"/>
      <protection/>
    </xf>
    <xf numFmtId="3" fontId="104" fillId="33" borderId="0" xfId="60" applyNumberFormat="1" applyFont="1" applyFill="1" applyBorder="1" applyAlignment="1">
      <alignment horizontal="left" vertical="center" wrapText="1"/>
      <protection/>
    </xf>
    <xf numFmtId="3" fontId="104" fillId="33" borderId="0" xfId="60" applyNumberFormat="1" applyFont="1" applyFill="1" applyBorder="1" applyAlignment="1">
      <alignment horizontal="center" vertical="center"/>
      <protection/>
    </xf>
    <xf numFmtId="3" fontId="121" fillId="33" borderId="0" xfId="59" applyNumberFormat="1" applyFont="1" applyFill="1" applyAlignment="1">
      <alignment horizontal="center" vertical="center"/>
      <protection/>
    </xf>
    <xf numFmtId="3" fontId="104" fillId="33" borderId="0" xfId="60" applyNumberFormat="1" applyFont="1" applyFill="1" applyBorder="1" applyAlignment="1">
      <alignment vertical="center"/>
      <protection/>
    </xf>
    <xf numFmtId="3" fontId="119" fillId="33" borderId="0" xfId="60" applyNumberFormat="1" applyFont="1" applyFill="1" applyBorder="1" applyAlignment="1">
      <alignment vertical="center"/>
      <protection/>
    </xf>
    <xf numFmtId="3" fontId="119" fillId="33" borderId="0" xfId="59" applyNumberFormat="1" applyFont="1" applyFill="1" applyBorder="1" applyAlignment="1">
      <alignment horizontal="right" vertical="center"/>
      <protection/>
    </xf>
    <xf numFmtId="3" fontId="119" fillId="33" borderId="0" xfId="60" applyNumberFormat="1" applyFont="1" applyFill="1" applyAlignment="1">
      <alignment vertical="center"/>
      <protection/>
    </xf>
    <xf numFmtId="0" fontId="123" fillId="33" borderId="0" xfId="61" applyFont="1" applyFill="1" applyAlignment="1">
      <alignment/>
      <protection/>
    </xf>
    <xf numFmtId="3" fontId="104" fillId="33" borderId="0" xfId="59" applyNumberFormat="1" applyFont="1" applyFill="1" applyBorder="1" applyAlignment="1">
      <alignment horizontal="center"/>
      <protection/>
    </xf>
    <xf numFmtId="0" fontId="123" fillId="33" borderId="0" xfId="61" applyFont="1" applyFill="1" applyAlignment="1">
      <alignment horizontal="center" vertical="top"/>
      <protection/>
    </xf>
    <xf numFmtId="0" fontId="123" fillId="33" borderId="0" xfId="61" applyFont="1" applyFill="1" applyAlignment="1">
      <alignment vertical="top"/>
      <protection/>
    </xf>
    <xf numFmtId="3" fontId="106" fillId="33" borderId="0" xfId="61" applyNumberFormat="1" applyFont="1" applyFill="1" applyAlignment="1">
      <alignment vertical="center"/>
      <protection/>
    </xf>
    <xf numFmtId="0" fontId="120" fillId="33" borderId="0" xfId="61" applyFont="1" applyFill="1" applyAlignment="1">
      <alignment vertical="center"/>
      <protection/>
    </xf>
    <xf numFmtId="0" fontId="125" fillId="33" borderId="0" xfId="61" applyFont="1" applyFill="1" applyAlignment="1">
      <alignment vertical="center"/>
      <protection/>
    </xf>
    <xf numFmtId="0" fontId="19" fillId="33" borderId="0" xfId="60" applyFont="1" applyFill="1" applyAlignment="1">
      <alignment horizontal="center" vertical="center"/>
      <protection/>
    </xf>
    <xf numFmtId="49" fontId="14" fillId="33" borderId="0" xfId="60" applyNumberFormat="1" applyFont="1" applyFill="1" applyAlignment="1">
      <alignment horizontal="center" vertical="center"/>
      <protection/>
    </xf>
    <xf numFmtId="49" fontId="14" fillId="33" borderId="0" xfId="60" applyNumberFormat="1" applyFont="1" applyFill="1" applyBorder="1" applyAlignment="1">
      <alignment horizontal="center" vertical="center"/>
      <protection/>
    </xf>
    <xf numFmtId="49" fontId="35" fillId="33" borderId="0" xfId="60" applyNumberFormat="1" applyFont="1" applyFill="1" applyAlignment="1">
      <alignment horizontal="center" vertical="center"/>
      <protection/>
    </xf>
    <xf numFmtId="3" fontId="19" fillId="33" borderId="0" xfId="59" applyNumberFormat="1" applyFont="1" applyFill="1" applyBorder="1" applyAlignment="1">
      <alignment horizontal="center" vertical="center"/>
      <protection/>
    </xf>
    <xf numFmtId="0" fontId="8" fillId="33" borderId="0" xfId="0" applyFont="1" applyFill="1" applyAlignment="1">
      <alignment vertical="center"/>
    </xf>
    <xf numFmtId="0" fontId="19" fillId="33" borderId="0" xfId="60" applyFont="1" applyFill="1" applyAlignment="1">
      <alignment horizontal="center" vertical="center"/>
      <protection/>
    </xf>
    <xf numFmtId="0" fontId="7" fillId="33" borderId="0" xfId="61" applyFont="1" applyFill="1" applyBorder="1" applyAlignment="1">
      <alignment horizontal="left" vertical="center"/>
      <protection/>
    </xf>
    <xf numFmtId="3" fontId="19" fillId="33" borderId="0" xfId="60" applyNumberFormat="1" applyFont="1" applyFill="1" applyAlignment="1">
      <alignment horizontal="center" vertical="center"/>
      <protection/>
    </xf>
    <xf numFmtId="0" fontId="0" fillId="33" borderId="0" xfId="0" applyFont="1" applyFill="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5. Martie rectificare Lista 2002 HCLM .2002 " xfId="57"/>
    <cellStyle name="Normal_Dotari Cap. 60" xfId="58"/>
    <cellStyle name="Normal_Lista 2001 rectif Mai" xfId="59"/>
    <cellStyle name="Normal_LISTA DOTARI"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1</xdr:col>
      <xdr:colOff>704850</xdr:colOff>
      <xdr:row>4</xdr:row>
      <xdr:rowOff>161925</xdr:rowOff>
    </xdr:to>
    <xdr:pic>
      <xdr:nvPicPr>
        <xdr:cNvPr id="1" name="Picture 1" descr="logo2"/>
        <xdr:cNvPicPr preferRelativeResize="1">
          <a:picLocks noChangeAspect="1"/>
        </xdr:cNvPicPr>
      </xdr:nvPicPr>
      <xdr:blipFill>
        <a:blip r:embed="rId1"/>
        <a:stretch>
          <a:fillRect/>
        </a:stretch>
      </xdr:blipFill>
      <xdr:spPr>
        <a:xfrm>
          <a:off x="114300" y="85725"/>
          <a:ext cx="828675" cy="895350"/>
        </a:xfrm>
        <a:prstGeom prst="rect">
          <a:avLst/>
        </a:prstGeom>
        <a:noFill/>
        <a:ln w="9525" cmpd="sng">
          <a:noFill/>
        </a:ln>
      </xdr:spPr>
    </xdr:pic>
    <xdr:clientData/>
  </xdr:twoCellAnchor>
  <xdr:twoCellAnchor editAs="absolute">
    <xdr:from>
      <xdr:col>1</xdr:col>
      <xdr:colOff>685800</xdr:colOff>
      <xdr:row>0</xdr:row>
      <xdr:rowOff>38100</xdr:rowOff>
    </xdr:from>
    <xdr:to>
      <xdr:col>2</xdr:col>
      <xdr:colOff>476250</xdr:colOff>
      <xdr:row>0</xdr:row>
      <xdr:rowOff>38100</xdr:rowOff>
    </xdr:to>
    <xdr:sp>
      <xdr:nvSpPr>
        <xdr:cNvPr id="2" name="Text Box 31"/>
        <xdr:cNvSpPr txBox="1">
          <a:spLocks noChangeArrowheads="1"/>
        </xdr:cNvSpPr>
      </xdr:nvSpPr>
      <xdr:spPr>
        <a:xfrm>
          <a:off x="923925" y="38100"/>
          <a:ext cx="2552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a:t>
          </a:r>
          <a:r>
            <a:rPr lang="en-US" cap="none" sz="1400" b="1" i="0" u="none" baseline="0">
              <a:solidFill>
                <a:srgbClr val="000000"/>
              </a:solidFill>
              <a:latin typeface="Times New Roman CE"/>
              <a:ea typeface="Times New Roman CE"/>
              <a:cs typeface="Times New Roman CE"/>
            </a:rPr>
            <a:t>ROMÂNIA</a:t>
          </a:r>
          <a:r>
            <a:rPr lang="en-US" cap="none" sz="1000" b="0" i="0" u="none" baseline="0">
              <a:solidFill>
                <a:srgbClr val="000000"/>
              </a:solidFill>
              <a:latin typeface="Times New Roman CE"/>
              <a:ea typeface="Times New Roman CE"/>
              <a:cs typeface="Times New Roman CE"/>
            </a:rPr>
            <a:t>
</a:t>
          </a:r>
          <a:r>
            <a:rPr lang="en-US" cap="none" sz="1000" b="0" i="0" u="none" baseline="0">
              <a:solidFill>
                <a:srgbClr val="000000"/>
              </a:solidFill>
              <a:latin typeface="Times New Roman CE"/>
              <a:ea typeface="Times New Roman CE"/>
              <a:cs typeface="Times New Roman CE"/>
            </a:rPr>
            <a:t> JUDEŢUL CONSTANŢA
</a:t>
          </a:r>
          <a:r>
            <a:rPr lang="en-US" cap="none" sz="1000" b="0" i="0" u="none" baseline="0">
              <a:solidFill>
                <a:srgbClr val="000000"/>
              </a:solidFill>
              <a:latin typeface="Times New Roman CE"/>
              <a:ea typeface="Times New Roman CE"/>
              <a:cs typeface="Times New Roman CE"/>
            </a:rPr>
            <a:t> CONSILIUL LOCAL 
</a:t>
          </a:r>
          <a:r>
            <a:rPr lang="en-US" cap="none" sz="1000" b="0" i="0" u="none" baseline="0">
              <a:solidFill>
                <a:srgbClr val="000000"/>
              </a:solidFill>
              <a:latin typeface="Times New Roman CE"/>
              <a:ea typeface="Times New Roman CE"/>
              <a:cs typeface="Times New Roman CE"/>
            </a:rPr>
            <a:t> MUNICIPIUL CONSTANŢA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0</xdr:row>
      <xdr:rowOff>38100</xdr:rowOff>
    </xdr:from>
    <xdr:to>
      <xdr:col>1</xdr:col>
      <xdr:colOff>2619375</xdr:colOff>
      <xdr:row>4</xdr:row>
      <xdr:rowOff>0</xdr:rowOff>
    </xdr:to>
    <xdr:sp>
      <xdr:nvSpPr>
        <xdr:cNvPr id="1" name="Text Box 5"/>
        <xdr:cNvSpPr txBox="1">
          <a:spLocks noChangeArrowheads="1"/>
        </xdr:cNvSpPr>
      </xdr:nvSpPr>
      <xdr:spPr>
        <a:xfrm>
          <a:off x="819150" y="38100"/>
          <a:ext cx="2076450" cy="695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ROMANIA
</a:t>
          </a:r>
          <a:r>
            <a:rPr lang="en-US" cap="none" sz="1000" b="0" i="0" u="none" baseline="0">
              <a:solidFill>
                <a:srgbClr val="000000"/>
              </a:solidFill>
              <a:latin typeface="Arial CE"/>
              <a:ea typeface="Arial CE"/>
              <a:cs typeface="Arial CE"/>
            </a:rPr>
            <a:t> JUDEŢUL CONSTANŢA
</a:t>
          </a:r>
          <a:r>
            <a:rPr lang="en-US" cap="none" sz="1000" b="0" i="0" u="none" baseline="0">
              <a:solidFill>
                <a:srgbClr val="000000"/>
              </a:solidFill>
              <a:latin typeface="Arial CE"/>
              <a:ea typeface="Arial CE"/>
              <a:cs typeface="Arial CE"/>
            </a:rPr>
            <a:t> CONSILIUL LOCAL 
</a:t>
          </a:r>
          <a:r>
            <a:rPr lang="en-US" cap="none" sz="1000" b="0" i="0" u="none" baseline="0">
              <a:solidFill>
                <a:srgbClr val="000000"/>
              </a:solidFill>
              <a:latin typeface="Arial CE"/>
              <a:ea typeface="Arial CE"/>
              <a:cs typeface="Arial CE"/>
            </a:rPr>
            <a:t> MUNICIPIUL CONSTANŢA</a:t>
          </a:r>
          <a:r>
            <a:rPr lang="en-US" cap="none" sz="1000" b="0" i="0" u="none" baseline="0">
              <a:solidFill>
                <a:srgbClr val="000000"/>
              </a:solidFill>
              <a:latin typeface="Times New Roman CE"/>
              <a:ea typeface="Times New Roman CE"/>
              <a:cs typeface="Times New Roman CE"/>
            </a:rPr>
            <a:t>
</a:t>
          </a:r>
          <a:r>
            <a:rPr lang="en-US" cap="none" sz="1000" b="0" i="0" u="none" baseline="0">
              <a:solidFill>
                <a:srgbClr val="000000"/>
              </a:solidFill>
              <a:latin typeface="Times New Roman CE"/>
              <a:ea typeface="Times New Roman CE"/>
              <a:cs typeface="Times New Roman CE"/>
            </a:rPr>
            <a:t>                        </a:t>
          </a:r>
        </a:p>
      </xdr:txBody>
    </xdr:sp>
    <xdr:clientData/>
  </xdr:twoCellAnchor>
  <xdr:twoCellAnchor>
    <xdr:from>
      <xdr:col>0</xdr:col>
      <xdr:colOff>57150</xdr:colOff>
      <xdr:row>0</xdr:row>
      <xdr:rowOff>38100</xdr:rowOff>
    </xdr:from>
    <xdr:to>
      <xdr:col>1</xdr:col>
      <xdr:colOff>571500</xdr:colOff>
      <xdr:row>5</xdr:row>
      <xdr:rowOff>66675</xdr:rowOff>
    </xdr:to>
    <xdr:pic>
      <xdr:nvPicPr>
        <xdr:cNvPr id="2" name="Picture 8" descr="logo2"/>
        <xdr:cNvPicPr preferRelativeResize="1">
          <a:picLocks noChangeAspect="1"/>
        </xdr:cNvPicPr>
      </xdr:nvPicPr>
      <xdr:blipFill>
        <a:blip r:embed="rId1"/>
        <a:stretch>
          <a:fillRect/>
        </a:stretch>
      </xdr:blipFill>
      <xdr:spPr>
        <a:xfrm>
          <a:off x="57150" y="38100"/>
          <a:ext cx="7905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xdr:col>
      <xdr:colOff>733425</xdr:colOff>
      <xdr:row>5</xdr:row>
      <xdr:rowOff>104775</xdr:rowOff>
    </xdr:to>
    <xdr:pic>
      <xdr:nvPicPr>
        <xdr:cNvPr id="1" name="Picture 1" descr="logo2"/>
        <xdr:cNvPicPr preferRelativeResize="1">
          <a:picLocks noChangeAspect="1"/>
        </xdr:cNvPicPr>
      </xdr:nvPicPr>
      <xdr:blipFill>
        <a:blip r:embed="rId1"/>
        <a:stretch>
          <a:fillRect/>
        </a:stretch>
      </xdr:blipFill>
      <xdr:spPr>
        <a:xfrm>
          <a:off x="66675" y="38100"/>
          <a:ext cx="923925" cy="952500"/>
        </a:xfrm>
        <a:prstGeom prst="rect">
          <a:avLst/>
        </a:prstGeom>
        <a:noFill/>
        <a:ln w="9525" cmpd="sng">
          <a:noFill/>
        </a:ln>
      </xdr:spPr>
    </xdr:pic>
    <xdr:clientData/>
  </xdr:twoCellAnchor>
  <xdr:twoCellAnchor editAs="absolute">
    <xdr:from>
      <xdr:col>1</xdr:col>
      <xdr:colOff>781050</xdr:colOff>
      <xdr:row>0</xdr:row>
      <xdr:rowOff>114300</xdr:rowOff>
    </xdr:from>
    <xdr:to>
      <xdr:col>2</xdr:col>
      <xdr:colOff>180975</xdr:colOff>
      <xdr:row>4</xdr:row>
      <xdr:rowOff>133350</xdr:rowOff>
    </xdr:to>
    <xdr:sp>
      <xdr:nvSpPr>
        <xdr:cNvPr id="2" name="Text Box 2"/>
        <xdr:cNvSpPr txBox="1">
          <a:spLocks noChangeArrowheads="1"/>
        </xdr:cNvSpPr>
      </xdr:nvSpPr>
      <xdr:spPr>
        <a:xfrm>
          <a:off x="1038225" y="114300"/>
          <a:ext cx="1724025" cy="723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CE"/>
              <a:ea typeface="Times New Roman CE"/>
              <a:cs typeface="Times New Roman CE"/>
            </a:rPr>
            <a:t> ROMANIA
</a:t>
          </a:r>
          <a:r>
            <a:rPr lang="en-US" cap="none" sz="1000" b="1" i="0" u="none" baseline="0">
              <a:solidFill>
                <a:srgbClr val="000000"/>
              </a:solidFill>
              <a:latin typeface="Times New Roman CE"/>
              <a:ea typeface="Times New Roman CE"/>
              <a:cs typeface="Times New Roman CE"/>
            </a:rPr>
            <a:t> JUDEŢUL CONSTANŢA
</a:t>
          </a:r>
          <a:r>
            <a:rPr lang="en-US" cap="none" sz="1000" b="1" i="0" u="none" baseline="0">
              <a:solidFill>
                <a:srgbClr val="000000"/>
              </a:solidFill>
              <a:latin typeface="Times New Roman CE"/>
              <a:ea typeface="Times New Roman CE"/>
              <a:cs typeface="Times New Roman CE"/>
            </a:rPr>
            <a:t> CONSILIUL LOCAL 
</a:t>
          </a:r>
          <a:r>
            <a:rPr lang="en-US" cap="none" sz="1000" b="1" i="0" u="none" baseline="0">
              <a:solidFill>
                <a:srgbClr val="000000"/>
              </a:solidFill>
              <a:latin typeface="Times New Roman CE"/>
              <a:ea typeface="Times New Roman CE"/>
              <a:cs typeface="Times New Roman CE"/>
            </a:rPr>
            <a:t> MUNICIPIUL CONSTANŢA</a:t>
          </a:r>
          <a:r>
            <a:rPr lang="en-US" cap="none" sz="1000" b="0" i="0" u="none" baseline="0">
              <a:solidFill>
                <a:srgbClr val="000000"/>
              </a:solidFill>
              <a:latin typeface="Arial CE"/>
              <a:ea typeface="Arial CE"/>
              <a:cs typeface="Arial CE"/>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xdr:col>
      <xdr:colOff>714375</xdr:colOff>
      <xdr:row>3</xdr:row>
      <xdr:rowOff>28575</xdr:rowOff>
    </xdr:to>
    <xdr:pic>
      <xdr:nvPicPr>
        <xdr:cNvPr id="1" name="Picture 1" descr="logo2"/>
        <xdr:cNvPicPr preferRelativeResize="1">
          <a:picLocks noChangeAspect="1"/>
        </xdr:cNvPicPr>
      </xdr:nvPicPr>
      <xdr:blipFill>
        <a:blip r:embed="rId1"/>
        <a:stretch>
          <a:fillRect/>
        </a:stretch>
      </xdr:blipFill>
      <xdr:spPr>
        <a:xfrm>
          <a:off x="57150" y="114300"/>
          <a:ext cx="904875" cy="876300"/>
        </a:xfrm>
        <a:prstGeom prst="rect">
          <a:avLst/>
        </a:prstGeom>
        <a:noFill/>
        <a:ln w="9525" cmpd="sng">
          <a:noFill/>
        </a:ln>
      </xdr:spPr>
    </xdr:pic>
    <xdr:clientData/>
  </xdr:twoCellAnchor>
  <xdr:twoCellAnchor editAs="absolute">
    <xdr:from>
      <xdr:col>1</xdr:col>
      <xdr:colOff>781050</xdr:colOff>
      <xdr:row>0</xdr:row>
      <xdr:rowOff>152400</xdr:rowOff>
    </xdr:from>
    <xdr:to>
      <xdr:col>2</xdr:col>
      <xdr:colOff>190500</xdr:colOff>
      <xdr:row>2</xdr:row>
      <xdr:rowOff>38100</xdr:rowOff>
    </xdr:to>
    <xdr:sp>
      <xdr:nvSpPr>
        <xdr:cNvPr id="2" name="Text Box 3"/>
        <xdr:cNvSpPr txBox="1">
          <a:spLocks noChangeArrowheads="1"/>
        </xdr:cNvSpPr>
      </xdr:nvSpPr>
      <xdr:spPr>
        <a:xfrm>
          <a:off x="1028700" y="152400"/>
          <a:ext cx="1933575" cy="704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CE"/>
              <a:ea typeface="Times New Roman CE"/>
              <a:cs typeface="Times New Roman CE"/>
            </a:rPr>
            <a:t> ROMANIA
</a:t>
          </a:r>
          <a:r>
            <a:rPr lang="en-US" cap="none" sz="1000" b="1" i="0" u="none" baseline="0">
              <a:solidFill>
                <a:srgbClr val="000000"/>
              </a:solidFill>
              <a:latin typeface="Times New Roman CE"/>
              <a:ea typeface="Times New Roman CE"/>
              <a:cs typeface="Times New Roman CE"/>
            </a:rPr>
            <a:t> JUDEŢUL CONSTANŢA
</a:t>
          </a:r>
          <a:r>
            <a:rPr lang="en-US" cap="none" sz="1000" b="1" i="0" u="none" baseline="0">
              <a:solidFill>
                <a:srgbClr val="000000"/>
              </a:solidFill>
              <a:latin typeface="Times New Roman CE"/>
              <a:ea typeface="Times New Roman CE"/>
              <a:cs typeface="Times New Roman CE"/>
            </a:rPr>
            <a:t> CONSILIUL LOCAL 
</a:t>
          </a:r>
          <a:r>
            <a:rPr lang="en-US" cap="none" sz="1000" b="1" i="0" u="none" baseline="0">
              <a:solidFill>
                <a:srgbClr val="000000"/>
              </a:solidFill>
              <a:latin typeface="Times New Roman CE"/>
              <a:ea typeface="Times New Roman CE"/>
              <a:cs typeface="Times New Roman CE"/>
            </a:rPr>
            <a:t> MUNICIPIUL CONSTANŢA</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642"/>
  <sheetViews>
    <sheetView zoomScalePageLayoutView="0" workbookViewId="0" topLeftCell="A1">
      <selection activeCell="A8" sqref="A8"/>
    </sheetView>
  </sheetViews>
  <sheetFormatPr defaultColWidth="9.140625" defaultRowHeight="12.75"/>
  <cols>
    <col min="1" max="1" width="14.421875" style="0" customWidth="1"/>
    <col min="4" max="4" width="41.140625" style="0" customWidth="1"/>
    <col min="5" max="5" width="19.57421875" style="0" customWidth="1"/>
    <col min="8" max="18" width="10.57421875" style="198" customWidth="1"/>
    <col min="19" max="23" width="9.140625" style="198" customWidth="1"/>
  </cols>
  <sheetData>
    <row r="1" spans="24:35" ht="12">
      <c r="X1" s="198"/>
      <c r="Y1" s="198"/>
      <c r="Z1" s="198"/>
      <c r="AA1" s="198"/>
      <c r="AB1" s="198"/>
      <c r="AC1" s="198"/>
      <c r="AD1" s="198"/>
      <c r="AE1" s="198"/>
      <c r="AF1" s="198"/>
      <c r="AG1" s="198"/>
      <c r="AH1" s="198"/>
      <c r="AI1" s="198"/>
    </row>
    <row r="2" spans="24:35" ht="19.5" customHeight="1">
      <c r="X2" s="198"/>
      <c r="Y2" s="198"/>
      <c r="Z2" s="198"/>
      <c r="AA2" s="198"/>
      <c r="AB2" s="198"/>
      <c r="AC2" s="198"/>
      <c r="AD2" s="198"/>
      <c r="AE2" s="198"/>
      <c r="AF2" s="198"/>
      <c r="AG2" s="198"/>
      <c r="AH2" s="198"/>
      <c r="AI2" s="198"/>
    </row>
    <row r="3" spans="24:35" ht="19.5" customHeight="1">
      <c r="X3" s="198"/>
      <c r="Y3" s="198"/>
      <c r="Z3" s="198"/>
      <c r="AA3" s="198"/>
      <c r="AB3" s="198"/>
      <c r="AC3" s="198"/>
      <c r="AD3" s="198"/>
      <c r="AE3" s="198"/>
      <c r="AF3" s="198"/>
      <c r="AG3" s="198"/>
      <c r="AH3" s="198"/>
      <c r="AI3" s="198"/>
    </row>
    <row r="4" spans="1:35" ht="19.5" customHeight="1">
      <c r="A4" s="1"/>
      <c r="B4" s="1"/>
      <c r="C4" s="1"/>
      <c r="D4" s="1"/>
      <c r="E4" s="1"/>
      <c r="X4" s="198"/>
      <c r="Y4" s="198"/>
      <c r="Z4" s="198"/>
      <c r="AA4" s="198"/>
      <c r="AB4" s="198"/>
      <c r="AC4" s="198"/>
      <c r="AD4" s="198"/>
      <c r="AE4" s="198"/>
      <c r="AF4" s="198"/>
      <c r="AG4" s="198"/>
      <c r="AH4" s="198"/>
      <c r="AI4" s="198"/>
    </row>
    <row r="5" spans="1:35" ht="19.5" customHeight="1">
      <c r="A5" s="2" t="s">
        <v>34</v>
      </c>
      <c r="B5" s="3"/>
      <c r="C5" s="3"/>
      <c r="D5" s="4"/>
      <c r="E5" s="6" t="s">
        <v>35</v>
      </c>
      <c r="X5" s="198"/>
      <c r="Y5" s="198"/>
      <c r="Z5" s="198"/>
      <c r="AA5" s="198"/>
      <c r="AB5" s="198"/>
      <c r="AC5" s="198"/>
      <c r="AD5" s="198"/>
      <c r="AE5" s="198"/>
      <c r="AF5" s="198"/>
      <c r="AG5" s="198"/>
      <c r="AH5" s="198"/>
      <c r="AI5" s="198"/>
    </row>
    <row r="6" spans="1:35" ht="19.5" customHeight="1">
      <c r="A6" s="5" t="s">
        <v>36</v>
      </c>
      <c r="B6" s="3"/>
      <c r="C6" s="3"/>
      <c r="D6" s="4"/>
      <c r="E6" s="6" t="s">
        <v>37</v>
      </c>
      <c r="X6" s="198"/>
      <c r="Y6" s="198"/>
      <c r="Z6" s="198"/>
      <c r="AA6" s="198"/>
      <c r="AB6" s="198"/>
      <c r="AC6" s="198"/>
      <c r="AD6" s="198"/>
      <c r="AE6" s="198"/>
      <c r="AF6" s="198"/>
      <c r="AG6" s="198"/>
      <c r="AH6" s="198"/>
      <c r="AI6" s="198"/>
    </row>
    <row r="7" spans="1:35" ht="19.5" customHeight="1">
      <c r="A7" s="5" t="s">
        <v>38</v>
      </c>
      <c r="B7" s="3"/>
      <c r="C7" s="3"/>
      <c r="D7" s="4"/>
      <c r="E7" s="7" t="s">
        <v>39</v>
      </c>
      <c r="X7" s="198"/>
      <c r="Y7" s="198"/>
      <c r="Z7" s="198"/>
      <c r="AA7" s="198"/>
      <c r="AB7" s="198"/>
      <c r="AC7" s="198"/>
      <c r="AD7" s="198"/>
      <c r="AE7" s="198"/>
      <c r="AF7" s="198"/>
      <c r="AG7" s="198"/>
      <c r="AH7" s="198"/>
      <c r="AI7" s="198"/>
    </row>
    <row r="8" spans="1:35" ht="19.5" customHeight="1">
      <c r="A8" s="5" t="s">
        <v>43</v>
      </c>
      <c r="B8" s="3"/>
      <c r="C8" s="3"/>
      <c r="D8" s="4"/>
      <c r="E8" s="8" t="s">
        <v>40</v>
      </c>
      <c r="F8" t="s">
        <v>42</v>
      </c>
      <c r="X8" s="198"/>
      <c r="Y8" s="198"/>
      <c r="Z8" s="198"/>
      <c r="AA8" s="198"/>
      <c r="AB8" s="198"/>
      <c r="AC8" s="198"/>
      <c r="AD8" s="198"/>
      <c r="AE8" s="198"/>
      <c r="AF8" s="198"/>
      <c r="AG8" s="198"/>
      <c r="AH8" s="198"/>
      <c r="AI8" s="198"/>
    </row>
    <row r="9" spans="1:35" ht="19.5" customHeight="1">
      <c r="A9" s="9" t="s">
        <v>50</v>
      </c>
      <c r="B9" s="3"/>
      <c r="C9" s="3"/>
      <c r="D9" s="4"/>
      <c r="E9" s="6" t="s">
        <v>49</v>
      </c>
      <c r="X9" s="198"/>
      <c r="Y9" s="198"/>
      <c r="Z9" s="198"/>
      <c r="AA9" s="198"/>
      <c r="AB9" s="198"/>
      <c r="AC9" s="198"/>
      <c r="AD9" s="198"/>
      <c r="AE9" s="198"/>
      <c r="AF9" s="198"/>
      <c r="AG9" s="198"/>
      <c r="AH9" s="198"/>
      <c r="AI9" s="198"/>
    </row>
    <row r="10" spans="11:35" ht="19.5" customHeight="1">
      <c r="K10" s="198">
        <f>62+47+34+18+38-119</f>
        <v>80</v>
      </c>
      <c r="X10" s="198"/>
      <c r="Y10" s="198"/>
      <c r="Z10" s="198"/>
      <c r="AA10" s="198"/>
      <c r="AB10" s="198"/>
      <c r="AC10" s="198"/>
      <c r="AD10" s="198"/>
      <c r="AE10" s="198"/>
      <c r="AF10" s="198"/>
      <c r="AG10" s="198"/>
      <c r="AH10" s="198"/>
      <c r="AI10" s="198"/>
    </row>
    <row r="11" spans="24:35" ht="19.5" customHeight="1">
      <c r="X11" s="198"/>
      <c r="Y11" s="198"/>
      <c r="Z11" s="198"/>
      <c r="AA11" s="198"/>
      <c r="AB11" s="198"/>
      <c r="AC11" s="198"/>
      <c r="AD11" s="198"/>
      <c r="AE11" s="198"/>
      <c r="AF11" s="198"/>
      <c r="AG11" s="198"/>
      <c r="AH11" s="198"/>
      <c r="AI11" s="198"/>
    </row>
    <row r="12" spans="24:35" ht="19.5" customHeight="1">
      <c r="X12" s="198"/>
      <c r="Y12" s="198"/>
      <c r="Z12" s="198"/>
      <c r="AA12" s="198"/>
      <c r="AB12" s="198"/>
      <c r="AC12" s="198"/>
      <c r="AD12" s="198"/>
      <c r="AE12" s="198"/>
      <c r="AF12" s="198"/>
      <c r="AG12" s="198"/>
      <c r="AH12" s="198"/>
      <c r="AI12" s="198"/>
    </row>
    <row r="13" spans="24:35" ht="19.5" customHeight="1">
      <c r="X13" s="198"/>
      <c r="Y13" s="198"/>
      <c r="Z13" s="198"/>
      <c r="AA13" s="198"/>
      <c r="AB13" s="198"/>
      <c r="AC13" s="198"/>
      <c r="AD13" s="198"/>
      <c r="AE13" s="198"/>
      <c r="AF13" s="198"/>
      <c r="AG13" s="198"/>
      <c r="AH13" s="198"/>
      <c r="AI13" s="198"/>
    </row>
    <row r="14" spans="24:35" ht="19.5" customHeight="1">
      <c r="X14" s="198"/>
      <c r="Y14" s="198"/>
      <c r="Z14" s="198"/>
      <c r="AA14" s="198"/>
      <c r="AB14" s="198"/>
      <c r="AC14" s="198"/>
      <c r="AD14" s="198"/>
      <c r="AE14" s="198"/>
      <c r="AF14" s="198"/>
      <c r="AG14" s="198"/>
      <c r="AH14" s="198"/>
      <c r="AI14" s="198"/>
    </row>
    <row r="15" spans="24:35" ht="19.5" customHeight="1">
      <c r="X15" s="198"/>
      <c r="Y15" s="198"/>
      <c r="Z15" s="198"/>
      <c r="AA15" s="198"/>
      <c r="AB15" s="198"/>
      <c r="AC15" s="198"/>
      <c r="AD15" s="198"/>
      <c r="AE15" s="198"/>
      <c r="AF15" s="198"/>
      <c r="AG15" s="198"/>
      <c r="AH15" s="198"/>
      <c r="AI15" s="198"/>
    </row>
    <row r="16" spans="24:35" ht="19.5" customHeight="1">
      <c r="X16" s="198"/>
      <c r="Y16" s="198"/>
      <c r="Z16" s="198"/>
      <c r="AA16" s="198"/>
      <c r="AB16" s="198"/>
      <c r="AC16" s="198"/>
      <c r="AD16" s="198"/>
      <c r="AE16" s="198"/>
      <c r="AF16" s="198"/>
      <c r="AG16" s="198"/>
      <c r="AH16" s="198"/>
      <c r="AI16" s="198"/>
    </row>
    <row r="17" spans="24:35" ht="19.5" customHeight="1">
      <c r="X17" s="198"/>
      <c r="Y17" s="198"/>
      <c r="Z17" s="198"/>
      <c r="AA17" s="198"/>
      <c r="AB17" s="198"/>
      <c r="AC17" s="198"/>
      <c r="AD17" s="198"/>
      <c r="AE17" s="198"/>
      <c r="AF17" s="198"/>
      <c r="AG17" s="198"/>
      <c r="AH17" s="198"/>
      <c r="AI17" s="198"/>
    </row>
    <row r="18" spans="24:35" ht="19.5" customHeight="1">
      <c r="X18" s="198"/>
      <c r="Y18" s="198"/>
      <c r="Z18" s="198"/>
      <c r="AA18" s="198"/>
      <c r="AB18" s="198"/>
      <c r="AC18" s="198"/>
      <c r="AD18" s="198"/>
      <c r="AE18" s="198"/>
      <c r="AF18" s="198"/>
      <c r="AG18" s="198"/>
      <c r="AH18" s="198"/>
      <c r="AI18" s="198"/>
    </row>
    <row r="19" spans="24:35" ht="19.5" customHeight="1">
      <c r="X19" s="198"/>
      <c r="Y19" s="198"/>
      <c r="Z19" s="198"/>
      <c r="AA19" s="198"/>
      <c r="AB19" s="198"/>
      <c r="AC19" s="198"/>
      <c r="AD19" s="198"/>
      <c r="AE19" s="198"/>
      <c r="AF19" s="198"/>
      <c r="AG19" s="198"/>
      <c r="AH19" s="198"/>
      <c r="AI19" s="198"/>
    </row>
    <row r="20" spans="24:35" ht="19.5" customHeight="1">
      <c r="X20" s="198"/>
      <c r="Y20" s="198"/>
      <c r="Z20" s="198"/>
      <c r="AA20" s="198"/>
      <c r="AB20" s="198"/>
      <c r="AC20" s="198"/>
      <c r="AD20" s="198"/>
      <c r="AE20" s="198"/>
      <c r="AF20" s="198"/>
      <c r="AG20" s="198"/>
      <c r="AH20" s="198"/>
      <c r="AI20" s="198"/>
    </row>
    <row r="21" spans="24:35" ht="19.5" customHeight="1">
      <c r="X21" s="198"/>
      <c r="Y21" s="198"/>
      <c r="Z21" s="198"/>
      <c r="AA21" s="198"/>
      <c r="AB21" s="198"/>
      <c r="AC21" s="198"/>
      <c r="AD21" s="198"/>
      <c r="AE21" s="198"/>
      <c r="AF21" s="198"/>
      <c r="AG21" s="198"/>
      <c r="AH21" s="198"/>
      <c r="AI21" s="198"/>
    </row>
    <row r="22" spans="24:35" ht="19.5" customHeight="1">
      <c r="X22" s="198"/>
      <c r="Y22" s="198"/>
      <c r="Z22" s="198"/>
      <c r="AA22" s="198"/>
      <c r="AB22" s="198"/>
      <c r="AC22" s="198"/>
      <c r="AD22" s="198"/>
      <c r="AE22" s="198"/>
      <c r="AF22" s="198"/>
      <c r="AG22" s="198"/>
      <c r="AH22" s="198"/>
      <c r="AI22" s="198"/>
    </row>
    <row r="23" spans="12:35" ht="19.5" customHeight="1">
      <c r="L23" s="199"/>
      <c r="X23" s="198"/>
      <c r="Y23" s="198"/>
      <c r="Z23" s="198"/>
      <c r="AA23" s="198"/>
      <c r="AB23" s="198"/>
      <c r="AC23" s="198"/>
      <c r="AD23" s="198"/>
      <c r="AE23" s="198"/>
      <c r="AF23" s="198"/>
      <c r="AG23" s="198"/>
      <c r="AH23" s="198"/>
      <c r="AI23" s="198"/>
    </row>
    <row r="24" spans="12:35" ht="19.5" customHeight="1">
      <c r="L24" s="199"/>
      <c r="X24" s="198"/>
      <c r="Y24" s="198"/>
      <c r="Z24" s="198"/>
      <c r="AA24" s="198"/>
      <c r="AB24" s="198"/>
      <c r="AC24" s="198"/>
      <c r="AD24" s="198"/>
      <c r="AE24" s="198"/>
      <c r="AF24" s="198"/>
      <c r="AG24" s="198"/>
      <c r="AH24" s="198"/>
      <c r="AI24" s="198"/>
    </row>
    <row r="25" spans="12:35" ht="19.5" customHeight="1">
      <c r="L25" s="199"/>
      <c r="X25" s="198"/>
      <c r="Y25" s="198"/>
      <c r="Z25" s="198"/>
      <c r="AA25" s="198"/>
      <c r="AB25" s="198"/>
      <c r="AC25" s="198"/>
      <c r="AD25" s="198"/>
      <c r="AE25" s="198"/>
      <c r="AF25" s="198"/>
      <c r="AG25" s="198"/>
      <c r="AH25" s="198"/>
      <c r="AI25" s="198"/>
    </row>
    <row r="26" spans="24:35" ht="19.5" customHeight="1">
      <c r="X26" s="198"/>
      <c r="Y26" s="198"/>
      <c r="Z26" s="198"/>
      <c r="AA26" s="198"/>
      <c r="AB26" s="198"/>
      <c r="AC26" s="198"/>
      <c r="AD26" s="198"/>
      <c r="AE26" s="198"/>
      <c r="AF26" s="198"/>
      <c r="AG26" s="198"/>
      <c r="AH26" s="198"/>
      <c r="AI26" s="198"/>
    </row>
    <row r="27" spans="24:35" ht="19.5" customHeight="1">
      <c r="X27" s="198"/>
      <c r="Y27" s="198"/>
      <c r="Z27" s="198"/>
      <c r="AA27" s="198"/>
      <c r="AB27" s="198"/>
      <c r="AC27" s="198"/>
      <c r="AD27" s="198"/>
      <c r="AE27" s="198"/>
      <c r="AF27" s="198"/>
      <c r="AG27" s="198"/>
      <c r="AH27" s="198"/>
      <c r="AI27" s="198"/>
    </row>
    <row r="28" spans="24:35" ht="19.5" customHeight="1">
      <c r="X28" s="198"/>
      <c r="Y28" s="198"/>
      <c r="Z28" s="198"/>
      <c r="AA28" s="198"/>
      <c r="AB28" s="198"/>
      <c r="AC28" s="198"/>
      <c r="AD28" s="198"/>
      <c r="AE28" s="198"/>
      <c r="AF28" s="198"/>
      <c r="AG28" s="198"/>
      <c r="AH28" s="198"/>
      <c r="AI28" s="198"/>
    </row>
    <row r="29" spans="24:35" ht="19.5" customHeight="1">
      <c r="X29" s="198"/>
      <c r="Y29" s="198"/>
      <c r="Z29" s="198"/>
      <c r="AA29" s="198"/>
      <c r="AB29" s="198"/>
      <c r="AC29" s="198"/>
      <c r="AD29" s="198"/>
      <c r="AE29" s="198"/>
      <c r="AF29" s="198"/>
      <c r="AG29" s="198"/>
      <c r="AH29" s="198"/>
      <c r="AI29" s="198"/>
    </row>
    <row r="30" spans="24:35" ht="19.5" customHeight="1">
      <c r="X30" s="198"/>
      <c r="Y30" s="198"/>
      <c r="Z30" s="198"/>
      <c r="AA30" s="198"/>
      <c r="AB30" s="198"/>
      <c r="AC30" s="198"/>
      <c r="AD30" s="198"/>
      <c r="AE30" s="198"/>
      <c r="AF30" s="198"/>
      <c r="AG30" s="198"/>
      <c r="AH30" s="198"/>
      <c r="AI30" s="198"/>
    </row>
    <row r="31" spans="24:35" ht="19.5" customHeight="1">
      <c r="X31" s="198"/>
      <c r="Y31" s="198"/>
      <c r="Z31" s="198"/>
      <c r="AA31" s="198"/>
      <c r="AB31" s="198"/>
      <c r="AC31" s="198"/>
      <c r="AD31" s="198"/>
      <c r="AE31" s="198"/>
      <c r="AF31" s="198"/>
      <c r="AG31" s="198"/>
      <c r="AH31" s="198"/>
      <c r="AI31" s="198"/>
    </row>
    <row r="32" spans="24:35" ht="19.5" customHeight="1">
      <c r="X32" s="198"/>
      <c r="Y32" s="198"/>
      <c r="Z32" s="198"/>
      <c r="AA32" s="198"/>
      <c r="AB32" s="198"/>
      <c r="AC32" s="198"/>
      <c r="AD32" s="198"/>
      <c r="AE32" s="198"/>
      <c r="AF32" s="198"/>
      <c r="AG32" s="198"/>
      <c r="AH32" s="198"/>
      <c r="AI32" s="198"/>
    </row>
    <row r="33" spans="24:35" ht="19.5" customHeight="1">
      <c r="X33" s="198"/>
      <c r="Y33" s="198"/>
      <c r="Z33" s="198"/>
      <c r="AA33" s="198"/>
      <c r="AB33" s="198"/>
      <c r="AC33" s="198"/>
      <c r="AD33" s="198"/>
      <c r="AE33" s="198"/>
      <c r="AF33" s="198"/>
      <c r="AG33" s="198"/>
      <c r="AH33" s="198"/>
      <c r="AI33" s="198"/>
    </row>
    <row r="34" spans="24:35" ht="19.5" customHeight="1">
      <c r="X34" s="198"/>
      <c r="Y34" s="198"/>
      <c r="Z34" s="198"/>
      <c r="AA34" s="198"/>
      <c r="AB34" s="198"/>
      <c r="AC34" s="198"/>
      <c r="AD34" s="198"/>
      <c r="AE34" s="198"/>
      <c r="AF34" s="198"/>
      <c r="AG34" s="198"/>
      <c r="AH34" s="198"/>
      <c r="AI34" s="198"/>
    </row>
    <row r="35" spans="24:35" ht="19.5" customHeight="1">
      <c r="X35" s="198"/>
      <c r="Y35" s="198"/>
      <c r="Z35" s="198"/>
      <c r="AA35" s="198"/>
      <c r="AB35" s="198"/>
      <c r="AC35" s="198"/>
      <c r="AD35" s="198"/>
      <c r="AE35" s="198"/>
      <c r="AF35" s="198"/>
      <c r="AG35" s="198"/>
      <c r="AH35" s="198"/>
      <c r="AI35" s="198"/>
    </row>
    <row r="36" spans="24:35" ht="19.5" customHeight="1">
      <c r="X36" s="198"/>
      <c r="Y36" s="198"/>
      <c r="Z36" s="198"/>
      <c r="AA36" s="198"/>
      <c r="AB36" s="198"/>
      <c r="AC36" s="198"/>
      <c r="AD36" s="198"/>
      <c r="AE36" s="198"/>
      <c r="AF36" s="198"/>
      <c r="AG36" s="198"/>
      <c r="AH36" s="198"/>
      <c r="AI36" s="198"/>
    </row>
    <row r="37" spans="24:35" ht="19.5" customHeight="1">
      <c r="X37" s="198"/>
      <c r="Y37" s="198"/>
      <c r="Z37" s="198"/>
      <c r="AA37" s="198"/>
      <c r="AB37" s="198"/>
      <c r="AC37" s="198"/>
      <c r="AD37" s="198"/>
      <c r="AE37" s="198"/>
      <c r="AF37" s="198"/>
      <c r="AG37" s="198"/>
      <c r="AH37" s="198"/>
      <c r="AI37" s="198"/>
    </row>
    <row r="38" spans="24:35" ht="19.5" customHeight="1">
      <c r="X38" s="198"/>
      <c r="Y38" s="198"/>
      <c r="Z38" s="198"/>
      <c r="AA38" s="198"/>
      <c r="AB38" s="198"/>
      <c r="AC38" s="198"/>
      <c r="AD38" s="198"/>
      <c r="AE38" s="198"/>
      <c r="AF38" s="198"/>
      <c r="AG38" s="198"/>
      <c r="AH38" s="198"/>
      <c r="AI38" s="198"/>
    </row>
    <row r="39" spans="24:35" ht="19.5" customHeight="1">
      <c r="X39" s="198"/>
      <c r="Y39" s="198"/>
      <c r="Z39" s="198"/>
      <c r="AA39" s="198"/>
      <c r="AB39" s="198"/>
      <c r="AC39" s="198"/>
      <c r="AD39" s="198"/>
      <c r="AE39" s="198"/>
      <c r="AF39" s="198"/>
      <c r="AG39" s="198"/>
      <c r="AH39" s="198"/>
      <c r="AI39" s="198"/>
    </row>
    <row r="40" spans="24:35" ht="12">
      <c r="X40" s="198"/>
      <c r="Y40" s="198"/>
      <c r="Z40" s="198"/>
      <c r="AA40" s="198"/>
      <c r="AB40" s="198"/>
      <c r="AC40" s="198"/>
      <c r="AD40" s="198"/>
      <c r="AE40" s="198"/>
      <c r="AF40" s="198"/>
      <c r="AG40" s="198"/>
      <c r="AH40" s="198"/>
      <c r="AI40" s="198"/>
    </row>
    <row r="41" spans="24:35" ht="12">
      <c r="X41" s="198"/>
      <c r="Y41" s="198"/>
      <c r="Z41" s="198"/>
      <c r="AA41" s="198"/>
      <c r="AB41" s="198"/>
      <c r="AC41" s="198"/>
      <c r="AD41" s="198"/>
      <c r="AE41" s="198"/>
      <c r="AF41" s="198"/>
      <c r="AG41" s="198"/>
      <c r="AH41" s="198"/>
      <c r="AI41" s="198"/>
    </row>
    <row r="42" spans="24:35" ht="12">
      <c r="X42" s="198"/>
      <c r="Y42" s="198"/>
      <c r="Z42" s="198"/>
      <c r="AA42" s="198"/>
      <c r="AB42" s="198"/>
      <c r="AC42" s="198"/>
      <c r="AD42" s="198"/>
      <c r="AE42" s="198"/>
      <c r="AF42" s="198"/>
      <c r="AG42" s="198"/>
      <c r="AH42" s="198"/>
      <c r="AI42" s="198"/>
    </row>
    <row r="43" spans="24:35" ht="12">
      <c r="X43" s="198"/>
      <c r="Y43" s="198"/>
      <c r="Z43" s="198"/>
      <c r="AA43" s="198"/>
      <c r="AB43" s="198"/>
      <c r="AC43" s="198"/>
      <c r="AD43" s="198"/>
      <c r="AE43" s="198"/>
      <c r="AF43" s="198"/>
      <c r="AG43" s="198"/>
      <c r="AH43" s="198"/>
      <c r="AI43" s="198"/>
    </row>
    <row r="44" spans="24:35" ht="12">
      <c r="X44" s="198"/>
      <c r="Y44" s="198"/>
      <c r="Z44" s="198"/>
      <c r="AA44" s="198"/>
      <c r="AB44" s="198"/>
      <c r="AC44" s="198"/>
      <c r="AD44" s="198"/>
      <c r="AE44" s="198"/>
      <c r="AF44" s="198"/>
      <c r="AG44" s="198"/>
      <c r="AH44" s="198"/>
      <c r="AI44" s="198"/>
    </row>
    <row r="45" spans="24:35" ht="12">
      <c r="X45" s="198"/>
      <c r="Y45" s="198"/>
      <c r="Z45" s="198"/>
      <c r="AA45" s="198"/>
      <c r="AB45" s="198"/>
      <c r="AC45" s="198"/>
      <c r="AD45" s="198"/>
      <c r="AE45" s="198"/>
      <c r="AF45" s="198"/>
      <c r="AG45" s="198"/>
      <c r="AH45" s="198"/>
      <c r="AI45" s="198"/>
    </row>
    <row r="46" spans="24:35" ht="12">
      <c r="X46" s="198"/>
      <c r="Y46" s="198"/>
      <c r="Z46" s="198"/>
      <c r="AA46" s="198"/>
      <c r="AB46" s="198"/>
      <c r="AC46" s="198"/>
      <c r="AD46" s="198"/>
      <c r="AE46" s="198"/>
      <c r="AF46" s="198"/>
      <c r="AG46" s="198"/>
      <c r="AH46" s="198"/>
      <c r="AI46" s="198"/>
    </row>
    <row r="47" spans="24:35" ht="12">
      <c r="X47" s="198"/>
      <c r="Y47" s="198"/>
      <c r="Z47" s="198"/>
      <c r="AA47" s="198"/>
      <c r="AB47" s="198"/>
      <c r="AC47" s="198"/>
      <c r="AD47" s="198"/>
      <c r="AE47" s="198"/>
      <c r="AF47" s="198"/>
      <c r="AG47" s="198"/>
      <c r="AH47" s="198"/>
      <c r="AI47" s="198"/>
    </row>
    <row r="48" spans="24:35" ht="12">
      <c r="X48" s="198"/>
      <c r="Y48" s="198"/>
      <c r="Z48" s="198"/>
      <c r="AA48" s="198"/>
      <c r="AB48" s="198"/>
      <c r="AC48" s="198"/>
      <c r="AD48" s="198"/>
      <c r="AE48" s="198"/>
      <c r="AF48" s="198"/>
      <c r="AG48" s="198"/>
      <c r="AH48" s="198"/>
      <c r="AI48" s="198"/>
    </row>
    <row r="49" spans="24:35" ht="12">
      <c r="X49" s="198"/>
      <c r="Y49" s="198"/>
      <c r="Z49" s="198"/>
      <c r="AA49" s="198"/>
      <c r="AB49" s="198"/>
      <c r="AC49" s="198"/>
      <c r="AD49" s="198"/>
      <c r="AE49" s="198"/>
      <c r="AF49" s="198"/>
      <c r="AG49" s="198"/>
      <c r="AH49" s="198"/>
      <c r="AI49" s="198"/>
    </row>
    <row r="50" spans="24:35" ht="12">
      <c r="X50" s="198"/>
      <c r="Y50" s="198"/>
      <c r="Z50" s="198"/>
      <c r="AA50" s="198"/>
      <c r="AB50" s="198"/>
      <c r="AC50" s="198"/>
      <c r="AD50" s="198"/>
      <c r="AE50" s="198"/>
      <c r="AF50" s="198"/>
      <c r="AG50" s="198"/>
      <c r="AH50" s="198"/>
      <c r="AI50" s="198"/>
    </row>
    <row r="51" spans="24:35" ht="12">
      <c r="X51" s="198"/>
      <c r="Y51" s="198"/>
      <c r="Z51" s="198"/>
      <c r="AA51" s="198"/>
      <c r="AB51" s="198"/>
      <c r="AC51" s="198"/>
      <c r="AD51" s="198"/>
      <c r="AE51" s="198"/>
      <c r="AF51" s="198"/>
      <c r="AG51" s="198"/>
      <c r="AH51" s="198"/>
      <c r="AI51" s="198"/>
    </row>
    <row r="52" spans="24:35" ht="12">
      <c r="X52" s="198"/>
      <c r="Y52" s="198"/>
      <c r="Z52" s="198"/>
      <c r="AA52" s="198"/>
      <c r="AB52" s="198"/>
      <c r="AC52" s="198"/>
      <c r="AD52" s="198"/>
      <c r="AE52" s="198"/>
      <c r="AF52" s="198"/>
      <c r="AG52" s="198"/>
      <c r="AH52" s="198"/>
      <c r="AI52" s="198"/>
    </row>
    <row r="53" spans="24:35" ht="12">
      <c r="X53" s="198"/>
      <c r="Y53" s="198"/>
      <c r="Z53" s="198"/>
      <c r="AA53" s="198"/>
      <c r="AB53" s="198"/>
      <c r="AC53" s="198"/>
      <c r="AD53" s="198"/>
      <c r="AE53" s="198"/>
      <c r="AF53" s="198"/>
      <c r="AG53" s="198"/>
      <c r="AH53" s="198"/>
      <c r="AI53" s="198"/>
    </row>
    <row r="54" spans="24:35" ht="12">
      <c r="X54" s="198"/>
      <c r="Y54" s="198"/>
      <c r="Z54" s="198"/>
      <c r="AA54" s="198"/>
      <c r="AB54" s="198"/>
      <c r="AC54" s="198"/>
      <c r="AD54" s="198"/>
      <c r="AE54" s="198"/>
      <c r="AF54" s="198"/>
      <c r="AG54" s="198"/>
      <c r="AH54" s="198"/>
      <c r="AI54" s="198"/>
    </row>
    <row r="55" spans="24:35" ht="12">
      <c r="X55" s="198"/>
      <c r="Y55" s="198"/>
      <c r="Z55" s="198"/>
      <c r="AA55" s="198"/>
      <c r="AB55" s="198"/>
      <c r="AC55" s="198"/>
      <c r="AD55" s="198"/>
      <c r="AE55" s="198"/>
      <c r="AF55" s="198"/>
      <c r="AG55" s="198"/>
      <c r="AH55" s="198"/>
      <c r="AI55" s="198"/>
    </row>
    <row r="56" spans="24:35" ht="12">
      <c r="X56" s="198"/>
      <c r="Y56" s="198"/>
      <c r="Z56" s="198"/>
      <c r="AA56" s="198"/>
      <c r="AB56" s="198"/>
      <c r="AC56" s="198"/>
      <c r="AD56" s="198"/>
      <c r="AE56" s="198"/>
      <c r="AF56" s="198"/>
      <c r="AG56" s="198"/>
      <c r="AH56" s="198"/>
      <c r="AI56" s="198"/>
    </row>
    <row r="57" spans="24:35" ht="12">
      <c r="X57" s="198"/>
      <c r="Y57" s="198"/>
      <c r="Z57" s="198"/>
      <c r="AA57" s="198"/>
      <c r="AB57" s="198"/>
      <c r="AC57" s="198"/>
      <c r="AD57" s="198"/>
      <c r="AE57" s="198"/>
      <c r="AF57" s="198"/>
      <c r="AG57" s="198"/>
      <c r="AH57" s="198"/>
      <c r="AI57" s="198"/>
    </row>
    <row r="58" spans="24:35" ht="12">
      <c r="X58" s="198"/>
      <c r="Y58" s="198"/>
      <c r="Z58" s="198"/>
      <c r="AA58" s="198"/>
      <c r="AB58" s="198"/>
      <c r="AC58" s="198"/>
      <c r="AD58" s="198"/>
      <c r="AE58" s="198"/>
      <c r="AF58" s="198"/>
      <c r="AG58" s="198"/>
      <c r="AH58" s="198"/>
      <c r="AI58" s="198"/>
    </row>
    <row r="59" spans="24:35" ht="12">
      <c r="X59" s="198"/>
      <c r="Y59" s="198"/>
      <c r="Z59" s="198"/>
      <c r="AA59" s="198"/>
      <c r="AB59" s="198"/>
      <c r="AC59" s="198"/>
      <c r="AD59" s="198"/>
      <c r="AE59" s="198"/>
      <c r="AF59" s="198"/>
      <c r="AG59" s="198"/>
      <c r="AH59" s="198"/>
      <c r="AI59" s="198"/>
    </row>
    <row r="60" spans="24:35" ht="12">
      <c r="X60" s="198"/>
      <c r="Y60" s="198"/>
      <c r="Z60" s="198"/>
      <c r="AA60" s="198"/>
      <c r="AB60" s="198"/>
      <c r="AC60" s="198"/>
      <c r="AD60" s="198"/>
      <c r="AE60" s="198"/>
      <c r="AF60" s="198"/>
      <c r="AG60" s="198"/>
      <c r="AH60" s="198"/>
      <c r="AI60" s="198"/>
    </row>
    <row r="61" spans="24:35" ht="12">
      <c r="X61" s="198"/>
      <c r="Y61" s="198"/>
      <c r="Z61" s="198"/>
      <c r="AA61" s="198"/>
      <c r="AB61" s="198"/>
      <c r="AC61" s="198"/>
      <c r="AD61" s="198"/>
      <c r="AE61" s="198"/>
      <c r="AF61" s="198"/>
      <c r="AG61" s="198"/>
      <c r="AH61" s="198"/>
      <c r="AI61" s="198"/>
    </row>
    <row r="62" spans="24:35" ht="12">
      <c r="X62" s="198"/>
      <c r="Y62" s="198"/>
      <c r="Z62" s="198"/>
      <c r="AA62" s="198"/>
      <c r="AB62" s="198"/>
      <c r="AC62" s="198"/>
      <c r="AD62" s="198"/>
      <c r="AE62" s="198"/>
      <c r="AF62" s="198"/>
      <c r="AG62" s="198"/>
      <c r="AH62" s="198"/>
      <c r="AI62" s="198"/>
    </row>
    <row r="63" spans="24:35" ht="12">
      <c r="X63" s="198"/>
      <c r="Y63" s="198"/>
      <c r="Z63" s="198"/>
      <c r="AA63" s="198"/>
      <c r="AB63" s="198"/>
      <c r="AC63" s="198"/>
      <c r="AD63" s="198"/>
      <c r="AE63" s="198"/>
      <c r="AF63" s="198"/>
      <c r="AG63" s="198"/>
      <c r="AH63" s="198"/>
      <c r="AI63" s="198"/>
    </row>
    <row r="64" spans="24:35" ht="12">
      <c r="X64" s="198"/>
      <c r="Y64" s="198"/>
      <c r="Z64" s="198"/>
      <c r="AA64" s="198"/>
      <c r="AB64" s="198"/>
      <c r="AC64" s="198"/>
      <c r="AD64" s="198"/>
      <c r="AE64" s="198"/>
      <c r="AF64" s="198"/>
      <c r="AG64" s="198"/>
      <c r="AH64" s="198"/>
      <c r="AI64" s="198"/>
    </row>
    <row r="65" spans="24:35" ht="12">
      <c r="X65" s="198"/>
      <c r="Y65" s="198"/>
      <c r="Z65" s="198"/>
      <c r="AA65" s="198"/>
      <c r="AB65" s="198"/>
      <c r="AC65" s="198"/>
      <c r="AD65" s="198"/>
      <c r="AE65" s="198"/>
      <c r="AF65" s="198"/>
      <c r="AG65" s="198"/>
      <c r="AH65" s="198"/>
      <c r="AI65" s="198"/>
    </row>
    <row r="66" spans="24:35" ht="12">
      <c r="X66" s="198"/>
      <c r="Y66" s="198"/>
      <c r="Z66" s="198"/>
      <c r="AA66" s="198"/>
      <c r="AB66" s="198"/>
      <c r="AC66" s="198"/>
      <c r="AD66" s="198"/>
      <c r="AE66" s="198"/>
      <c r="AF66" s="198"/>
      <c r="AG66" s="198"/>
      <c r="AH66" s="198"/>
      <c r="AI66" s="198"/>
    </row>
    <row r="67" spans="24:35" ht="12">
      <c r="X67" s="198"/>
      <c r="Y67" s="198"/>
      <c r="Z67" s="198"/>
      <c r="AA67" s="198"/>
      <c r="AB67" s="198"/>
      <c r="AC67" s="198"/>
      <c r="AD67" s="198"/>
      <c r="AE67" s="198"/>
      <c r="AF67" s="198"/>
      <c r="AG67" s="198"/>
      <c r="AH67" s="198"/>
      <c r="AI67" s="198"/>
    </row>
    <row r="68" spans="24:35" ht="12">
      <c r="X68" s="198"/>
      <c r="Y68" s="198"/>
      <c r="Z68" s="198"/>
      <c r="AA68" s="198"/>
      <c r="AB68" s="198"/>
      <c r="AC68" s="198"/>
      <c r="AD68" s="198"/>
      <c r="AE68" s="198"/>
      <c r="AF68" s="198"/>
      <c r="AG68" s="198"/>
      <c r="AH68" s="198"/>
      <c r="AI68" s="198"/>
    </row>
    <row r="69" spans="24:35" ht="12">
      <c r="X69" s="198"/>
      <c r="Y69" s="198"/>
      <c r="Z69" s="198"/>
      <c r="AA69" s="198"/>
      <c r="AB69" s="198"/>
      <c r="AC69" s="198"/>
      <c r="AD69" s="198"/>
      <c r="AE69" s="198"/>
      <c r="AF69" s="198"/>
      <c r="AG69" s="198"/>
      <c r="AH69" s="198"/>
      <c r="AI69" s="198"/>
    </row>
    <row r="70" spans="24:35" ht="12">
      <c r="X70" s="198"/>
      <c r="Y70" s="198"/>
      <c r="Z70" s="198"/>
      <c r="AA70" s="198"/>
      <c r="AB70" s="198"/>
      <c r="AC70" s="198"/>
      <c r="AD70" s="198"/>
      <c r="AE70" s="198"/>
      <c r="AF70" s="198"/>
      <c r="AG70" s="198"/>
      <c r="AH70" s="198"/>
      <c r="AI70" s="198"/>
    </row>
    <row r="71" spans="24:35" ht="12">
      <c r="X71" s="198"/>
      <c r="Y71" s="198"/>
      <c r="Z71" s="198"/>
      <c r="AA71" s="198"/>
      <c r="AB71" s="198"/>
      <c r="AC71" s="198"/>
      <c r="AD71" s="198"/>
      <c r="AE71" s="198"/>
      <c r="AF71" s="198"/>
      <c r="AG71" s="198"/>
      <c r="AH71" s="198"/>
      <c r="AI71" s="198"/>
    </row>
    <row r="72" spans="24:35" ht="12">
      <c r="X72" s="198"/>
      <c r="Y72" s="198"/>
      <c r="Z72" s="198"/>
      <c r="AA72" s="198"/>
      <c r="AB72" s="198"/>
      <c r="AC72" s="198"/>
      <c r="AD72" s="198"/>
      <c r="AE72" s="198"/>
      <c r="AF72" s="198"/>
      <c r="AG72" s="198"/>
      <c r="AH72" s="198"/>
      <c r="AI72" s="198"/>
    </row>
    <row r="73" spans="24:35" ht="12">
      <c r="X73" s="198"/>
      <c r="Y73" s="198"/>
      <c r="Z73" s="198"/>
      <c r="AA73" s="198"/>
      <c r="AB73" s="198"/>
      <c r="AC73" s="198"/>
      <c r="AD73" s="198"/>
      <c r="AE73" s="198"/>
      <c r="AF73" s="198"/>
      <c r="AG73" s="198"/>
      <c r="AH73" s="198"/>
      <c r="AI73" s="198"/>
    </row>
    <row r="74" spans="24:35" ht="12">
      <c r="X74" s="198"/>
      <c r="Y74" s="198"/>
      <c r="Z74" s="198"/>
      <c r="AA74" s="198"/>
      <c r="AB74" s="198"/>
      <c r="AC74" s="198"/>
      <c r="AD74" s="198"/>
      <c r="AE74" s="198"/>
      <c r="AF74" s="198"/>
      <c r="AG74" s="198"/>
      <c r="AH74" s="198"/>
      <c r="AI74" s="198"/>
    </row>
    <row r="75" spans="24:35" ht="12">
      <c r="X75" s="198"/>
      <c r="Y75" s="198"/>
      <c r="Z75" s="198"/>
      <c r="AA75" s="198"/>
      <c r="AB75" s="198"/>
      <c r="AC75" s="198"/>
      <c r="AD75" s="198"/>
      <c r="AE75" s="198"/>
      <c r="AF75" s="198"/>
      <c r="AG75" s="198"/>
      <c r="AH75" s="198"/>
      <c r="AI75" s="198"/>
    </row>
    <row r="76" spans="24:35" ht="12">
      <c r="X76" s="198"/>
      <c r="Y76" s="198"/>
      <c r="Z76" s="198"/>
      <c r="AA76" s="198"/>
      <c r="AB76" s="198"/>
      <c r="AC76" s="198"/>
      <c r="AD76" s="198"/>
      <c r="AE76" s="198"/>
      <c r="AF76" s="198"/>
      <c r="AG76" s="198"/>
      <c r="AH76" s="198"/>
      <c r="AI76" s="198"/>
    </row>
    <row r="77" spans="24:35" ht="12">
      <c r="X77" s="198"/>
      <c r="Y77" s="198"/>
      <c r="Z77" s="198"/>
      <c r="AA77" s="198"/>
      <c r="AB77" s="198"/>
      <c r="AC77" s="198"/>
      <c r="AD77" s="198"/>
      <c r="AE77" s="198"/>
      <c r="AF77" s="198"/>
      <c r="AG77" s="198"/>
      <c r="AH77" s="198"/>
      <c r="AI77" s="198"/>
    </row>
    <row r="78" spans="24:35" ht="12">
      <c r="X78" s="198"/>
      <c r="Y78" s="198"/>
      <c r="Z78" s="198"/>
      <c r="AA78" s="198"/>
      <c r="AB78" s="198"/>
      <c r="AC78" s="198"/>
      <c r="AD78" s="198"/>
      <c r="AE78" s="198"/>
      <c r="AF78" s="198"/>
      <c r="AG78" s="198"/>
      <c r="AH78" s="198"/>
      <c r="AI78" s="198"/>
    </row>
    <row r="79" spans="24:35" ht="12">
      <c r="X79" s="198"/>
      <c r="Y79" s="198"/>
      <c r="Z79" s="198"/>
      <c r="AA79" s="198"/>
      <c r="AB79" s="198"/>
      <c r="AC79" s="198"/>
      <c r="AD79" s="198"/>
      <c r="AE79" s="198"/>
      <c r="AF79" s="198"/>
      <c r="AG79" s="198"/>
      <c r="AH79" s="198"/>
      <c r="AI79" s="198"/>
    </row>
    <row r="80" spans="24:35" ht="12">
      <c r="X80" s="198"/>
      <c r="Y80" s="198"/>
      <c r="Z80" s="198"/>
      <c r="AA80" s="198"/>
      <c r="AB80" s="198"/>
      <c r="AC80" s="198"/>
      <c r="AD80" s="198"/>
      <c r="AE80" s="198"/>
      <c r="AF80" s="198"/>
      <c r="AG80" s="198"/>
      <c r="AH80" s="198"/>
      <c r="AI80" s="198"/>
    </row>
    <row r="81" spans="24:35" ht="12">
      <c r="X81" s="198"/>
      <c r="Y81" s="198"/>
      <c r="Z81" s="198"/>
      <c r="AA81" s="198"/>
      <c r="AB81" s="198"/>
      <c r="AC81" s="198"/>
      <c r="AD81" s="198"/>
      <c r="AE81" s="198"/>
      <c r="AF81" s="198"/>
      <c r="AG81" s="198"/>
      <c r="AH81" s="198"/>
      <c r="AI81" s="198"/>
    </row>
    <row r="82" spans="24:35" ht="12">
      <c r="X82" s="198"/>
      <c r="Y82" s="198"/>
      <c r="Z82" s="198"/>
      <c r="AA82" s="198"/>
      <c r="AB82" s="198"/>
      <c r="AC82" s="198"/>
      <c r="AD82" s="198"/>
      <c r="AE82" s="198"/>
      <c r="AF82" s="198"/>
      <c r="AG82" s="198"/>
      <c r="AH82" s="198"/>
      <c r="AI82" s="198"/>
    </row>
    <row r="83" spans="24:35" ht="12">
      <c r="X83" s="198"/>
      <c r="Y83" s="198"/>
      <c r="Z83" s="198"/>
      <c r="AA83" s="198"/>
      <c r="AB83" s="198"/>
      <c r="AC83" s="198"/>
      <c r="AD83" s="198"/>
      <c r="AE83" s="198"/>
      <c r="AF83" s="198"/>
      <c r="AG83" s="198"/>
      <c r="AH83" s="198"/>
      <c r="AI83" s="198"/>
    </row>
    <row r="84" spans="24:35" ht="12">
      <c r="X84" s="198"/>
      <c r="Y84" s="198"/>
      <c r="Z84" s="198"/>
      <c r="AA84" s="198"/>
      <c r="AB84" s="198"/>
      <c r="AC84" s="198"/>
      <c r="AD84" s="198"/>
      <c r="AE84" s="198"/>
      <c r="AF84" s="198"/>
      <c r="AG84" s="198"/>
      <c r="AH84" s="198"/>
      <c r="AI84" s="198"/>
    </row>
    <row r="85" spans="24:35" ht="12">
      <c r="X85" s="198"/>
      <c r="Y85" s="198"/>
      <c r="Z85" s="198"/>
      <c r="AA85" s="198"/>
      <c r="AB85" s="198"/>
      <c r="AC85" s="198"/>
      <c r="AD85" s="198"/>
      <c r="AE85" s="198"/>
      <c r="AF85" s="198"/>
      <c r="AG85" s="198"/>
      <c r="AH85" s="198"/>
      <c r="AI85" s="198"/>
    </row>
    <row r="86" spans="24:35" ht="12">
      <c r="X86" s="198"/>
      <c r="Y86" s="198"/>
      <c r="Z86" s="198"/>
      <c r="AA86" s="198"/>
      <c r="AB86" s="198"/>
      <c r="AC86" s="198"/>
      <c r="AD86" s="198"/>
      <c r="AE86" s="198"/>
      <c r="AF86" s="198"/>
      <c r="AG86" s="198"/>
      <c r="AH86" s="198"/>
      <c r="AI86" s="198"/>
    </row>
    <row r="87" spans="24:35" ht="12">
      <c r="X87" s="198"/>
      <c r="Y87" s="198"/>
      <c r="Z87" s="198"/>
      <c r="AA87" s="198"/>
      <c r="AB87" s="198"/>
      <c r="AC87" s="198"/>
      <c r="AD87" s="198"/>
      <c r="AE87" s="198"/>
      <c r="AF87" s="198"/>
      <c r="AG87" s="198"/>
      <c r="AH87" s="198"/>
      <c r="AI87" s="198"/>
    </row>
    <row r="88" spans="24:35" ht="12">
      <c r="X88" s="198"/>
      <c r="Y88" s="198"/>
      <c r="Z88" s="198"/>
      <c r="AA88" s="198"/>
      <c r="AB88" s="198"/>
      <c r="AC88" s="198"/>
      <c r="AD88" s="198"/>
      <c r="AE88" s="198"/>
      <c r="AF88" s="198"/>
      <c r="AG88" s="198"/>
      <c r="AH88" s="198"/>
      <c r="AI88" s="198"/>
    </row>
    <row r="89" spans="24:35" ht="12">
      <c r="X89" s="198"/>
      <c r="Y89" s="198"/>
      <c r="Z89" s="198"/>
      <c r="AA89" s="198"/>
      <c r="AB89" s="198"/>
      <c r="AC89" s="198"/>
      <c r="AD89" s="198"/>
      <c r="AE89" s="198"/>
      <c r="AF89" s="198"/>
      <c r="AG89" s="198"/>
      <c r="AH89" s="198"/>
      <c r="AI89" s="198"/>
    </row>
    <row r="90" spans="24:35" ht="12">
      <c r="X90" s="198"/>
      <c r="Y90" s="198"/>
      <c r="Z90" s="198"/>
      <c r="AA90" s="198"/>
      <c r="AB90" s="198"/>
      <c r="AC90" s="198"/>
      <c r="AD90" s="198"/>
      <c r="AE90" s="198"/>
      <c r="AF90" s="198"/>
      <c r="AG90" s="198"/>
      <c r="AH90" s="198"/>
      <c r="AI90" s="198"/>
    </row>
    <row r="91" spans="24:35" ht="12">
      <c r="X91" s="198"/>
      <c r="Y91" s="198"/>
      <c r="Z91" s="198"/>
      <c r="AA91" s="198"/>
      <c r="AB91" s="198"/>
      <c r="AC91" s="198"/>
      <c r="AD91" s="198"/>
      <c r="AE91" s="198"/>
      <c r="AF91" s="198"/>
      <c r="AG91" s="198"/>
      <c r="AH91" s="198"/>
      <c r="AI91" s="198"/>
    </row>
    <row r="92" spans="24:35" ht="12">
      <c r="X92" s="198"/>
      <c r="Y92" s="198"/>
      <c r="Z92" s="198"/>
      <c r="AA92" s="198"/>
      <c r="AB92" s="198"/>
      <c r="AC92" s="198"/>
      <c r="AD92" s="198"/>
      <c r="AE92" s="198"/>
      <c r="AF92" s="198"/>
      <c r="AG92" s="198"/>
      <c r="AH92" s="198"/>
      <c r="AI92" s="198"/>
    </row>
    <row r="93" spans="24:35" ht="12">
      <c r="X93" s="198"/>
      <c r="Y93" s="198"/>
      <c r="Z93" s="198"/>
      <c r="AA93" s="198"/>
      <c r="AB93" s="198"/>
      <c r="AC93" s="198"/>
      <c r="AD93" s="198"/>
      <c r="AE93" s="198"/>
      <c r="AF93" s="198"/>
      <c r="AG93" s="198"/>
      <c r="AH93" s="198"/>
      <c r="AI93" s="198"/>
    </row>
    <row r="94" spans="24:35" ht="12">
      <c r="X94" s="198"/>
      <c r="Y94" s="198"/>
      <c r="Z94" s="198"/>
      <c r="AA94" s="198"/>
      <c r="AB94" s="198"/>
      <c r="AC94" s="198"/>
      <c r="AD94" s="198"/>
      <c r="AE94" s="198"/>
      <c r="AF94" s="198"/>
      <c r="AG94" s="198"/>
      <c r="AH94" s="198"/>
      <c r="AI94" s="198"/>
    </row>
    <row r="95" spans="24:35" ht="12">
      <c r="X95" s="198"/>
      <c r="Y95" s="198"/>
      <c r="Z95" s="198"/>
      <c r="AA95" s="198"/>
      <c r="AB95" s="198"/>
      <c r="AC95" s="198"/>
      <c r="AD95" s="198"/>
      <c r="AE95" s="198"/>
      <c r="AF95" s="198"/>
      <c r="AG95" s="198"/>
      <c r="AH95" s="198"/>
      <c r="AI95" s="198"/>
    </row>
    <row r="96" spans="24:35" ht="12">
      <c r="X96" s="198"/>
      <c r="Y96" s="198"/>
      <c r="Z96" s="198"/>
      <c r="AA96" s="198"/>
      <c r="AB96" s="198"/>
      <c r="AC96" s="198"/>
      <c r="AD96" s="198"/>
      <c r="AE96" s="198"/>
      <c r="AF96" s="198"/>
      <c r="AG96" s="198"/>
      <c r="AH96" s="198"/>
      <c r="AI96" s="198"/>
    </row>
    <row r="97" spans="24:35" ht="12">
      <c r="X97" s="198"/>
      <c r="Y97" s="198"/>
      <c r="Z97" s="198"/>
      <c r="AA97" s="198"/>
      <c r="AB97" s="198"/>
      <c r="AC97" s="198"/>
      <c r="AD97" s="198"/>
      <c r="AE97" s="198"/>
      <c r="AF97" s="198"/>
      <c r="AG97" s="198"/>
      <c r="AH97" s="198"/>
      <c r="AI97" s="198"/>
    </row>
    <row r="98" spans="24:35" ht="12">
      <c r="X98" s="198"/>
      <c r="Y98" s="198"/>
      <c r="Z98" s="198"/>
      <c r="AA98" s="198"/>
      <c r="AB98" s="198"/>
      <c r="AC98" s="198"/>
      <c r="AD98" s="198"/>
      <c r="AE98" s="198"/>
      <c r="AF98" s="198"/>
      <c r="AG98" s="198"/>
      <c r="AH98" s="198"/>
      <c r="AI98" s="198"/>
    </row>
    <row r="99" spans="24:35" ht="12">
      <c r="X99" s="198"/>
      <c r="Y99" s="198"/>
      <c r="Z99" s="198"/>
      <c r="AA99" s="198"/>
      <c r="AB99" s="198"/>
      <c r="AC99" s="198"/>
      <c r="AD99" s="198"/>
      <c r="AE99" s="198"/>
      <c r="AF99" s="198"/>
      <c r="AG99" s="198"/>
      <c r="AH99" s="198"/>
      <c r="AI99" s="198"/>
    </row>
    <row r="100" spans="24:35" ht="12">
      <c r="X100" s="198"/>
      <c r="Y100" s="198"/>
      <c r="Z100" s="198"/>
      <c r="AA100" s="198"/>
      <c r="AB100" s="198"/>
      <c r="AC100" s="198"/>
      <c r="AD100" s="198"/>
      <c r="AE100" s="198"/>
      <c r="AF100" s="198"/>
      <c r="AG100" s="198"/>
      <c r="AH100" s="198"/>
      <c r="AI100" s="198"/>
    </row>
    <row r="101" spans="24:35" ht="12">
      <c r="X101" s="198"/>
      <c r="Y101" s="198"/>
      <c r="Z101" s="198"/>
      <c r="AA101" s="198"/>
      <c r="AB101" s="198"/>
      <c r="AC101" s="198"/>
      <c r="AD101" s="198"/>
      <c r="AE101" s="198"/>
      <c r="AF101" s="198"/>
      <c r="AG101" s="198"/>
      <c r="AH101" s="198"/>
      <c r="AI101" s="198"/>
    </row>
    <row r="102" spans="24:35" ht="12">
      <c r="X102" s="198"/>
      <c r="Y102" s="198"/>
      <c r="Z102" s="198"/>
      <c r="AA102" s="198"/>
      <c r="AB102" s="198"/>
      <c r="AC102" s="198"/>
      <c r="AD102" s="198"/>
      <c r="AE102" s="198"/>
      <c r="AF102" s="198"/>
      <c r="AG102" s="198"/>
      <c r="AH102" s="198"/>
      <c r="AI102" s="198"/>
    </row>
    <row r="103" spans="24:35" ht="12">
      <c r="X103" s="198"/>
      <c r="Y103" s="198"/>
      <c r="Z103" s="198"/>
      <c r="AA103" s="198"/>
      <c r="AB103" s="198"/>
      <c r="AC103" s="198"/>
      <c r="AD103" s="198"/>
      <c r="AE103" s="198"/>
      <c r="AF103" s="198"/>
      <c r="AG103" s="198"/>
      <c r="AH103" s="198"/>
      <c r="AI103" s="198"/>
    </row>
    <row r="104" spans="24:35" ht="12">
      <c r="X104" s="198"/>
      <c r="Y104" s="198"/>
      <c r="Z104" s="198"/>
      <c r="AA104" s="198"/>
      <c r="AB104" s="198"/>
      <c r="AC104" s="198"/>
      <c r="AD104" s="198"/>
      <c r="AE104" s="198"/>
      <c r="AF104" s="198"/>
      <c r="AG104" s="198"/>
      <c r="AH104" s="198"/>
      <c r="AI104" s="198"/>
    </row>
    <row r="105" spans="24:35" ht="12">
      <c r="X105" s="198"/>
      <c r="Y105" s="198"/>
      <c r="Z105" s="198"/>
      <c r="AA105" s="198"/>
      <c r="AB105" s="198"/>
      <c r="AC105" s="198"/>
      <c r="AD105" s="198"/>
      <c r="AE105" s="198"/>
      <c r="AF105" s="198"/>
      <c r="AG105" s="198"/>
      <c r="AH105" s="198"/>
      <c r="AI105" s="198"/>
    </row>
    <row r="106" spans="24:35" ht="12">
      <c r="X106" s="198"/>
      <c r="Y106" s="198"/>
      <c r="Z106" s="198"/>
      <c r="AA106" s="198"/>
      <c r="AB106" s="198"/>
      <c r="AC106" s="198"/>
      <c r="AD106" s="198"/>
      <c r="AE106" s="198"/>
      <c r="AF106" s="198"/>
      <c r="AG106" s="198"/>
      <c r="AH106" s="198"/>
      <c r="AI106" s="198"/>
    </row>
    <row r="107" spans="24:35" ht="12">
      <c r="X107" s="198"/>
      <c r="Y107" s="198"/>
      <c r="Z107" s="198"/>
      <c r="AA107" s="198"/>
      <c r="AB107" s="198"/>
      <c r="AC107" s="198"/>
      <c r="AD107" s="198"/>
      <c r="AE107" s="198"/>
      <c r="AF107" s="198"/>
      <c r="AG107" s="198"/>
      <c r="AH107" s="198"/>
      <c r="AI107" s="198"/>
    </row>
    <row r="108" spans="24:35" ht="12">
      <c r="X108" s="198"/>
      <c r="Y108" s="198"/>
      <c r="Z108" s="198"/>
      <c r="AA108" s="198"/>
      <c r="AB108" s="198"/>
      <c r="AC108" s="198"/>
      <c r="AD108" s="198"/>
      <c r="AE108" s="198"/>
      <c r="AF108" s="198"/>
      <c r="AG108" s="198"/>
      <c r="AH108" s="198"/>
      <c r="AI108" s="198"/>
    </row>
    <row r="109" spans="24:35" ht="12">
      <c r="X109" s="198"/>
      <c r="Y109" s="198"/>
      <c r="Z109" s="198"/>
      <c r="AA109" s="198"/>
      <c r="AB109" s="198"/>
      <c r="AC109" s="198"/>
      <c r="AD109" s="198"/>
      <c r="AE109" s="198"/>
      <c r="AF109" s="198"/>
      <c r="AG109" s="198"/>
      <c r="AH109" s="198"/>
      <c r="AI109" s="198"/>
    </row>
    <row r="110" spans="24:35" ht="12">
      <c r="X110" s="198"/>
      <c r="Y110" s="198"/>
      <c r="Z110" s="198"/>
      <c r="AA110" s="198"/>
      <c r="AB110" s="198"/>
      <c r="AC110" s="198"/>
      <c r="AD110" s="198"/>
      <c r="AE110" s="198"/>
      <c r="AF110" s="198"/>
      <c r="AG110" s="198"/>
      <c r="AH110" s="198"/>
      <c r="AI110" s="198"/>
    </row>
    <row r="111" spans="24:35" ht="12">
      <c r="X111" s="198"/>
      <c r="Y111" s="198"/>
      <c r="Z111" s="198"/>
      <c r="AA111" s="198"/>
      <c r="AB111" s="198"/>
      <c r="AC111" s="198"/>
      <c r="AD111" s="198"/>
      <c r="AE111" s="198"/>
      <c r="AF111" s="198"/>
      <c r="AG111" s="198"/>
      <c r="AH111" s="198"/>
      <c r="AI111" s="198"/>
    </row>
    <row r="112" spans="24:35" ht="12">
      <c r="X112" s="198"/>
      <c r="Y112" s="198"/>
      <c r="Z112" s="198"/>
      <c r="AA112" s="198"/>
      <c r="AB112" s="198"/>
      <c r="AC112" s="198"/>
      <c r="AD112" s="198"/>
      <c r="AE112" s="198"/>
      <c r="AF112" s="198"/>
      <c r="AG112" s="198"/>
      <c r="AH112" s="198"/>
      <c r="AI112" s="198"/>
    </row>
    <row r="113" spans="24:35" ht="12">
      <c r="X113" s="198"/>
      <c r="Y113" s="198"/>
      <c r="Z113" s="198"/>
      <c r="AA113" s="198"/>
      <c r="AB113" s="198"/>
      <c r="AC113" s="198"/>
      <c r="AD113" s="198"/>
      <c r="AE113" s="198"/>
      <c r="AF113" s="198"/>
      <c r="AG113" s="198"/>
      <c r="AH113" s="198"/>
      <c r="AI113" s="198"/>
    </row>
    <row r="114" spans="24:35" ht="12">
      <c r="X114" s="198"/>
      <c r="Y114" s="198"/>
      <c r="Z114" s="198"/>
      <c r="AA114" s="198"/>
      <c r="AB114" s="198"/>
      <c r="AC114" s="198"/>
      <c r="AD114" s="198"/>
      <c r="AE114" s="198"/>
      <c r="AF114" s="198"/>
      <c r="AG114" s="198"/>
      <c r="AH114" s="198"/>
      <c r="AI114" s="198"/>
    </row>
    <row r="115" spans="24:35" ht="12">
      <c r="X115" s="198"/>
      <c r="Y115" s="198"/>
      <c r="Z115" s="198"/>
      <c r="AA115" s="198"/>
      <c r="AB115" s="198"/>
      <c r="AC115" s="198"/>
      <c r="AD115" s="198"/>
      <c r="AE115" s="198"/>
      <c r="AF115" s="198"/>
      <c r="AG115" s="198"/>
      <c r="AH115" s="198"/>
      <c r="AI115" s="198"/>
    </row>
    <row r="116" spans="24:35" ht="12">
      <c r="X116" s="198"/>
      <c r="Y116" s="198"/>
      <c r="Z116" s="198"/>
      <c r="AA116" s="198"/>
      <c r="AB116" s="198"/>
      <c r="AC116" s="198"/>
      <c r="AD116" s="198"/>
      <c r="AE116" s="198"/>
      <c r="AF116" s="198"/>
      <c r="AG116" s="198"/>
      <c r="AH116" s="198"/>
      <c r="AI116" s="198"/>
    </row>
    <row r="117" spans="24:35" ht="12">
      <c r="X117" s="198"/>
      <c r="Y117" s="198"/>
      <c r="Z117" s="198"/>
      <c r="AA117" s="198"/>
      <c r="AB117" s="198"/>
      <c r="AC117" s="198"/>
      <c r="AD117" s="198"/>
      <c r="AE117" s="198"/>
      <c r="AF117" s="198"/>
      <c r="AG117" s="198"/>
      <c r="AH117" s="198"/>
      <c r="AI117" s="198"/>
    </row>
    <row r="118" spans="24:35" ht="12">
      <c r="X118" s="198"/>
      <c r="Y118" s="198"/>
      <c r="Z118" s="198"/>
      <c r="AA118" s="198"/>
      <c r="AB118" s="198"/>
      <c r="AC118" s="198"/>
      <c r="AD118" s="198"/>
      <c r="AE118" s="198"/>
      <c r="AF118" s="198"/>
      <c r="AG118" s="198"/>
      <c r="AH118" s="198"/>
      <c r="AI118" s="198"/>
    </row>
    <row r="119" spans="24:35" ht="12">
      <c r="X119" s="198"/>
      <c r="Y119" s="198"/>
      <c r="Z119" s="198"/>
      <c r="AA119" s="198"/>
      <c r="AB119" s="198"/>
      <c r="AC119" s="198"/>
      <c r="AD119" s="198"/>
      <c r="AE119" s="198"/>
      <c r="AF119" s="198"/>
      <c r="AG119" s="198"/>
      <c r="AH119" s="198"/>
      <c r="AI119" s="198"/>
    </row>
    <row r="120" spans="24:35" ht="12">
      <c r="X120" s="198"/>
      <c r="Y120" s="198"/>
      <c r="Z120" s="198"/>
      <c r="AA120" s="198"/>
      <c r="AB120" s="198"/>
      <c r="AC120" s="198"/>
      <c r="AD120" s="198"/>
      <c r="AE120" s="198"/>
      <c r="AF120" s="198"/>
      <c r="AG120" s="198"/>
      <c r="AH120" s="198"/>
      <c r="AI120" s="198"/>
    </row>
    <row r="121" spans="24:35" ht="12">
      <c r="X121" s="198"/>
      <c r="Y121" s="198"/>
      <c r="Z121" s="198"/>
      <c r="AA121" s="198"/>
      <c r="AB121" s="198"/>
      <c r="AC121" s="198"/>
      <c r="AD121" s="198"/>
      <c r="AE121" s="198"/>
      <c r="AF121" s="198"/>
      <c r="AG121" s="198"/>
      <c r="AH121" s="198"/>
      <c r="AI121" s="198"/>
    </row>
    <row r="122" spans="24:35" ht="12">
      <c r="X122" s="198"/>
      <c r="Y122" s="198"/>
      <c r="Z122" s="198"/>
      <c r="AA122" s="198"/>
      <c r="AB122" s="198"/>
      <c r="AC122" s="198"/>
      <c r="AD122" s="198"/>
      <c r="AE122" s="198"/>
      <c r="AF122" s="198"/>
      <c r="AG122" s="198"/>
      <c r="AH122" s="198"/>
      <c r="AI122" s="198"/>
    </row>
    <row r="123" spans="24:35" ht="12">
      <c r="X123" s="198"/>
      <c r="Y123" s="198"/>
      <c r="Z123" s="198"/>
      <c r="AA123" s="198"/>
      <c r="AB123" s="198"/>
      <c r="AC123" s="198"/>
      <c r="AD123" s="198"/>
      <c r="AE123" s="198"/>
      <c r="AF123" s="198"/>
      <c r="AG123" s="198"/>
      <c r="AH123" s="198"/>
      <c r="AI123" s="198"/>
    </row>
    <row r="124" spans="24:35" ht="12">
      <c r="X124" s="198"/>
      <c r="Y124" s="198"/>
      <c r="Z124" s="198"/>
      <c r="AA124" s="198"/>
      <c r="AB124" s="198"/>
      <c r="AC124" s="198"/>
      <c r="AD124" s="198"/>
      <c r="AE124" s="198"/>
      <c r="AF124" s="198"/>
      <c r="AG124" s="198"/>
      <c r="AH124" s="198"/>
      <c r="AI124" s="198"/>
    </row>
    <row r="125" spans="24:35" ht="12">
      <c r="X125" s="198"/>
      <c r="Y125" s="198"/>
      <c r="Z125" s="198"/>
      <c r="AA125" s="198"/>
      <c r="AB125" s="198"/>
      <c r="AC125" s="198"/>
      <c r="AD125" s="198"/>
      <c r="AE125" s="198"/>
      <c r="AF125" s="198"/>
      <c r="AG125" s="198"/>
      <c r="AH125" s="198"/>
      <c r="AI125" s="198"/>
    </row>
    <row r="126" spans="24:35" ht="12">
      <c r="X126" s="198"/>
      <c r="Y126" s="198"/>
      <c r="Z126" s="198"/>
      <c r="AA126" s="198"/>
      <c r="AB126" s="198"/>
      <c r="AC126" s="198"/>
      <c r="AD126" s="198"/>
      <c r="AE126" s="198"/>
      <c r="AF126" s="198"/>
      <c r="AG126" s="198"/>
      <c r="AH126" s="198"/>
      <c r="AI126" s="198"/>
    </row>
    <row r="127" spans="24:35" ht="12">
      <c r="X127" s="198"/>
      <c r="Y127" s="198"/>
      <c r="Z127" s="198"/>
      <c r="AA127" s="198"/>
      <c r="AB127" s="198"/>
      <c r="AC127" s="198"/>
      <c r="AD127" s="198"/>
      <c r="AE127" s="198"/>
      <c r="AF127" s="198"/>
      <c r="AG127" s="198"/>
      <c r="AH127" s="198"/>
      <c r="AI127" s="198"/>
    </row>
    <row r="128" spans="24:35" ht="12">
      <c r="X128" s="198"/>
      <c r="Y128" s="198"/>
      <c r="Z128" s="198"/>
      <c r="AA128" s="198"/>
      <c r="AB128" s="198"/>
      <c r="AC128" s="198"/>
      <c r="AD128" s="198"/>
      <c r="AE128" s="198"/>
      <c r="AF128" s="198"/>
      <c r="AG128" s="198"/>
      <c r="AH128" s="198"/>
      <c r="AI128" s="198"/>
    </row>
    <row r="129" spans="24:35" ht="12">
      <c r="X129" s="198"/>
      <c r="Y129" s="198"/>
      <c r="Z129" s="198"/>
      <c r="AA129" s="198"/>
      <c r="AB129" s="198"/>
      <c r="AC129" s="198"/>
      <c r="AD129" s="198"/>
      <c r="AE129" s="198"/>
      <c r="AF129" s="198"/>
      <c r="AG129" s="198"/>
      <c r="AH129" s="198"/>
      <c r="AI129" s="198"/>
    </row>
    <row r="130" spans="24:35" ht="12">
      <c r="X130" s="198"/>
      <c r="Y130" s="198"/>
      <c r="Z130" s="198"/>
      <c r="AA130" s="198"/>
      <c r="AB130" s="198"/>
      <c r="AC130" s="198"/>
      <c r="AD130" s="198"/>
      <c r="AE130" s="198"/>
      <c r="AF130" s="198"/>
      <c r="AG130" s="198"/>
      <c r="AH130" s="198"/>
      <c r="AI130" s="198"/>
    </row>
    <row r="131" spans="24:35" ht="12">
      <c r="X131" s="198"/>
      <c r="Y131" s="198"/>
      <c r="Z131" s="198"/>
      <c r="AA131" s="198"/>
      <c r="AB131" s="198"/>
      <c r="AC131" s="198"/>
      <c r="AD131" s="198"/>
      <c r="AE131" s="198"/>
      <c r="AF131" s="198"/>
      <c r="AG131" s="198"/>
      <c r="AH131" s="198"/>
      <c r="AI131" s="198"/>
    </row>
    <row r="132" spans="24:35" ht="12">
      <c r="X132" s="198"/>
      <c r="Y132" s="198"/>
      <c r="Z132" s="198"/>
      <c r="AA132" s="198"/>
      <c r="AB132" s="198"/>
      <c r="AC132" s="198"/>
      <c r="AD132" s="198"/>
      <c r="AE132" s="198"/>
      <c r="AF132" s="198"/>
      <c r="AG132" s="198"/>
      <c r="AH132" s="198"/>
      <c r="AI132" s="198"/>
    </row>
    <row r="133" spans="24:35" ht="12">
      <c r="X133" s="198"/>
      <c r="Y133" s="198"/>
      <c r="Z133" s="198"/>
      <c r="AA133" s="198"/>
      <c r="AB133" s="198"/>
      <c r="AC133" s="198"/>
      <c r="AD133" s="198"/>
      <c r="AE133" s="198"/>
      <c r="AF133" s="198"/>
      <c r="AG133" s="198"/>
      <c r="AH133" s="198"/>
      <c r="AI133" s="198"/>
    </row>
    <row r="134" spans="24:35" ht="12">
      <c r="X134" s="198"/>
      <c r="Y134" s="198"/>
      <c r="Z134" s="198"/>
      <c r="AA134" s="198"/>
      <c r="AB134" s="198"/>
      <c r="AC134" s="198"/>
      <c r="AD134" s="198"/>
      <c r="AE134" s="198"/>
      <c r="AF134" s="198"/>
      <c r="AG134" s="198"/>
      <c r="AH134" s="198"/>
      <c r="AI134" s="198"/>
    </row>
    <row r="135" spans="24:35" ht="12">
      <c r="X135" s="198"/>
      <c r="Y135" s="198"/>
      <c r="Z135" s="198"/>
      <c r="AA135" s="198"/>
      <c r="AB135" s="198"/>
      <c r="AC135" s="198"/>
      <c r="AD135" s="198"/>
      <c r="AE135" s="198"/>
      <c r="AF135" s="198"/>
      <c r="AG135" s="198"/>
      <c r="AH135" s="198"/>
      <c r="AI135" s="198"/>
    </row>
    <row r="136" spans="24:35" ht="12">
      <c r="X136" s="198"/>
      <c r="Y136" s="198"/>
      <c r="Z136" s="198"/>
      <c r="AA136" s="198"/>
      <c r="AB136" s="198"/>
      <c r="AC136" s="198"/>
      <c r="AD136" s="198"/>
      <c r="AE136" s="198"/>
      <c r="AF136" s="198"/>
      <c r="AG136" s="198"/>
      <c r="AH136" s="198"/>
      <c r="AI136" s="198"/>
    </row>
    <row r="137" spans="24:35" ht="12">
      <c r="X137" s="198"/>
      <c r="Y137" s="198"/>
      <c r="Z137" s="198"/>
      <c r="AA137" s="198"/>
      <c r="AB137" s="198"/>
      <c r="AC137" s="198"/>
      <c r="AD137" s="198"/>
      <c r="AE137" s="198"/>
      <c r="AF137" s="198"/>
      <c r="AG137" s="198"/>
      <c r="AH137" s="198"/>
      <c r="AI137" s="198"/>
    </row>
    <row r="138" spans="24:35" ht="12">
      <c r="X138" s="198"/>
      <c r="Y138" s="198"/>
      <c r="Z138" s="198"/>
      <c r="AA138" s="198"/>
      <c r="AB138" s="198"/>
      <c r="AC138" s="198"/>
      <c r="AD138" s="198"/>
      <c r="AE138" s="198"/>
      <c r="AF138" s="198"/>
      <c r="AG138" s="198"/>
      <c r="AH138" s="198"/>
      <c r="AI138" s="198"/>
    </row>
    <row r="139" spans="24:35" ht="12">
      <c r="X139" s="198"/>
      <c r="Y139" s="198"/>
      <c r="Z139" s="198"/>
      <c r="AA139" s="198"/>
      <c r="AB139" s="198"/>
      <c r="AC139" s="198"/>
      <c r="AD139" s="198"/>
      <c r="AE139" s="198"/>
      <c r="AF139" s="198"/>
      <c r="AG139" s="198"/>
      <c r="AH139" s="198"/>
      <c r="AI139" s="198"/>
    </row>
    <row r="140" spans="24:35" ht="12">
      <c r="X140" s="198"/>
      <c r="Y140" s="198"/>
      <c r="Z140" s="198"/>
      <c r="AA140" s="198"/>
      <c r="AB140" s="198"/>
      <c r="AC140" s="198"/>
      <c r="AD140" s="198"/>
      <c r="AE140" s="198"/>
      <c r="AF140" s="198"/>
      <c r="AG140" s="198"/>
      <c r="AH140" s="198"/>
      <c r="AI140" s="198"/>
    </row>
    <row r="141" spans="24:35" ht="12">
      <c r="X141" s="198"/>
      <c r="Y141" s="198"/>
      <c r="Z141" s="198"/>
      <c r="AA141" s="198"/>
      <c r="AB141" s="198"/>
      <c r="AC141" s="198"/>
      <c r="AD141" s="198"/>
      <c r="AE141" s="198"/>
      <c r="AF141" s="198"/>
      <c r="AG141" s="198"/>
      <c r="AH141" s="198"/>
      <c r="AI141" s="198"/>
    </row>
    <row r="142" spans="24:35" ht="12">
      <c r="X142" s="198"/>
      <c r="Y142" s="198"/>
      <c r="Z142" s="198"/>
      <c r="AA142" s="198"/>
      <c r="AB142" s="198"/>
      <c r="AC142" s="198"/>
      <c r="AD142" s="198"/>
      <c r="AE142" s="198"/>
      <c r="AF142" s="198"/>
      <c r="AG142" s="198"/>
      <c r="AH142" s="198"/>
      <c r="AI142" s="198"/>
    </row>
    <row r="143" spans="24:35" ht="12">
      <c r="X143" s="198"/>
      <c r="Y143" s="198"/>
      <c r="Z143" s="198"/>
      <c r="AA143" s="198"/>
      <c r="AB143" s="198"/>
      <c r="AC143" s="198"/>
      <c r="AD143" s="198"/>
      <c r="AE143" s="198"/>
      <c r="AF143" s="198"/>
      <c r="AG143" s="198"/>
      <c r="AH143" s="198"/>
      <c r="AI143" s="198"/>
    </row>
    <row r="144" spans="24:35" ht="12">
      <c r="X144" s="198"/>
      <c r="Y144" s="198"/>
      <c r="Z144" s="198"/>
      <c r="AA144" s="198"/>
      <c r="AB144" s="198"/>
      <c r="AC144" s="198"/>
      <c r="AD144" s="198"/>
      <c r="AE144" s="198"/>
      <c r="AF144" s="198"/>
      <c r="AG144" s="198"/>
      <c r="AH144" s="198"/>
      <c r="AI144" s="198"/>
    </row>
    <row r="145" spans="24:35" ht="12">
      <c r="X145" s="198"/>
      <c r="Y145" s="198"/>
      <c r="Z145" s="198"/>
      <c r="AA145" s="198"/>
      <c r="AB145" s="198"/>
      <c r="AC145" s="198"/>
      <c r="AD145" s="198"/>
      <c r="AE145" s="198"/>
      <c r="AF145" s="198"/>
      <c r="AG145" s="198"/>
      <c r="AH145" s="198"/>
      <c r="AI145" s="198"/>
    </row>
    <row r="146" spans="24:35" ht="12">
      <c r="X146" s="198"/>
      <c r="Y146" s="198"/>
      <c r="Z146" s="198"/>
      <c r="AA146" s="198"/>
      <c r="AB146" s="198"/>
      <c r="AC146" s="198"/>
      <c r="AD146" s="198"/>
      <c r="AE146" s="198"/>
      <c r="AF146" s="198"/>
      <c r="AG146" s="198"/>
      <c r="AH146" s="198"/>
      <c r="AI146" s="198"/>
    </row>
    <row r="147" spans="24:35" ht="12">
      <c r="X147" s="198"/>
      <c r="Y147" s="198"/>
      <c r="Z147" s="198"/>
      <c r="AA147" s="198"/>
      <c r="AB147" s="198"/>
      <c r="AC147" s="198"/>
      <c r="AD147" s="198"/>
      <c r="AE147" s="198"/>
      <c r="AF147" s="198"/>
      <c r="AG147" s="198"/>
      <c r="AH147" s="198"/>
      <c r="AI147" s="198"/>
    </row>
    <row r="148" spans="24:35" ht="12">
      <c r="X148" s="198"/>
      <c r="Y148" s="198"/>
      <c r="Z148" s="198"/>
      <c r="AA148" s="198"/>
      <c r="AB148" s="198"/>
      <c r="AC148" s="198"/>
      <c r="AD148" s="198"/>
      <c r="AE148" s="198"/>
      <c r="AF148" s="198"/>
      <c r="AG148" s="198"/>
      <c r="AH148" s="198"/>
      <c r="AI148" s="198"/>
    </row>
    <row r="149" spans="24:35" ht="12">
      <c r="X149" s="198"/>
      <c r="Y149" s="198"/>
      <c r="Z149" s="198"/>
      <c r="AA149" s="198"/>
      <c r="AB149" s="198"/>
      <c r="AC149" s="198"/>
      <c r="AD149" s="198"/>
      <c r="AE149" s="198"/>
      <c r="AF149" s="198"/>
      <c r="AG149" s="198"/>
      <c r="AH149" s="198"/>
      <c r="AI149" s="198"/>
    </row>
    <row r="150" spans="24:35" ht="12">
      <c r="X150" s="198"/>
      <c r="Y150" s="198"/>
      <c r="Z150" s="198"/>
      <c r="AA150" s="198"/>
      <c r="AB150" s="198"/>
      <c r="AC150" s="198"/>
      <c r="AD150" s="198"/>
      <c r="AE150" s="198"/>
      <c r="AF150" s="198"/>
      <c r="AG150" s="198"/>
      <c r="AH150" s="198"/>
      <c r="AI150" s="198"/>
    </row>
    <row r="151" spans="24:35" ht="12">
      <c r="X151" s="198"/>
      <c r="Y151" s="198"/>
      <c r="Z151" s="198"/>
      <c r="AA151" s="198"/>
      <c r="AB151" s="198"/>
      <c r="AC151" s="198"/>
      <c r="AD151" s="198"/>
      <c r="AE151" s="198"/>
      <c r="AF151" s="198"/>
      <c r="AG151" s="198"/>
      <c r="AH151" s="198"/>
      <c r="AI151" s="198"/>
    </row>
    <row r="152" spans="24:35" ht="12">
      <c r="X152" s="198"/>
      <c r="Y152" s="198"/>
      <c r="Z152" s="198"/>
      <c r="AA152" s="198"/>
      <c r="AB152" s="198"/>
      <c r="AC152" s="198"/>
      <c r="AD152" s="198"/>
      <c r="AE152" s="198"/>
      <c r="AF152" s="198"/>
      <c r="AG152" s="198"/>
      <c r="AH152" s="198"/>
      <c r="AI152" s="198"/>
    </row>
    <row r="153" spans="24:35" ht="12">
      <c r="X153" s="198"/>
      <c r="Y153" s="198"/>
      <c r="Z153" s="198"/>
      <c r="AA153" s="198"/>
      <c r="AB153" s="198"/>
      <c r="AC153" s="198"/>
      <c r="AD153" s="198"/>
      <c r="AE153" s="198"/>
      <c r="AF153" s="198"/>
      <c r="AG153" s="198"/>
      <c r="AH153" s="198"/>
      <c r="AI153" s="198"/>
    </row>
    <row r="154" spans="24:35" ht="12">
      <c r="X154" s="198"/>
      <c r="Y154" s="198"/>
      <c r="Z154" s="198"/>
      <c r="AA154" s="198"/>
      <c r="AB154" s="198"/>
      <c r="AC154" s="198"/>
      <c r="AD154" s="198"/>
      <c r="AE154" s="198"/>
      <c r="AF154" s="198"/>
      <c r="AG154" s="198"/>
      <c r="AH154" s="198"/>
      <c r="AI154" s="198"/>
    </row>
    <row r="155" spans="24:35" ht="12">
      <c r="X155" s="198"/>
      <c r="Y155" s="198"/>
      <c r="Z155" s="198"/>
      <c r="AA155" s="198"/>
      <c r="AB155" s="198"/>
      <c r="AC155" s="198"/>
      <c r="AD155" s="198"/>
      <c r="AE155" s="198"/>
      <c r="AF155" s="198"/>
      <c r="AG155" s="198"/>
      <c r="AH155" s="198"/>
      <c r="AI155" s="198"/>
    </row>
    <row r="156" spans="24:35" ht="12">
      <c r="X156" s="198"/>
      <c r="Y156" s="198"/>
      <c r="Z156" s="198"/>
      <c r="AA156" s="198"/>
      <c r="AB156" s="198"/>
      <c r="AC156" s="198"/>
      <c r="AD156" s="198"/>
      <c r="AE156" s="198"/>
      <c r="AF156" s="198"/>
      <c r="AG156" s="198"/>
      <c r="AH156" s="198"/>
      <c r="AI156" s="198"/>
    </row>
    <row r="157" spans="24:35" ht="12">
      <c r="X157" s="198"/>
      <c r="Y157" s="198"/>
      <c r="Z157" s="198"/>
      <c r="AA157" s="198"/>
      <c r="AB157" s="198"/>
      <c r="AC157" s="198"/>
      <c r="AD157" s="198"/>
      <c r="AE157" s="198"/>
      <c r="AF157" s="198"/>
      <c r="AG157" s="198"/>
      <c r="AH157" s="198"/>
      <c r="AI157" s="198"/>
    </row>
    <row r="158" spans="24:35" ht="12">
      <c r="X158" s="198"/>
      <c r="Y158" s="198"/>
      <c r="Z158" s="198"/>
      <c r="AA158" s="198"/>
      <c r="AB158" s="198"/>
      <c r="AC158" s="198"/>
      <c r="AD158" s="198"/>
      <c r="AE158" s="198"/>
      <c r="AF158" s="198"/>
      <c r="AG158" s="198"/>
      <c r="AH158" s="198"/>
      <c r="AI158" s="198"/>
    </row>
    <row r="159" spans="24:35" ht="12">
      <c r="X159" s="198"/>
      <c r="Y159" s="198"/>
      <c r="Z159" s="198"/>
      <c r="AA159" s="198"/>
      <c r="AB159" s="198"/>
      <c r="AC159" s="198"/>
      <c r="AD159" s="198"/>
      <c r="AE159" s="198"/>
      <c r="AF159" s="198"/>
      <c r="AG159" s="198"/>
      <c r="AH159" s="198"/>
      <c r="AI159" s="198"/>
    </row>
    <row r="160" spans="24:35" ht="12">
      <c r="X160" s="198"/>
      <c r="Y160" s="198"/>
      <c r="Z160" s="198"/>
      <c r="AA160" s="198"/>
      <c r="AB160" s="198"/>
      <c r="AC160" s="198"/>
      <c r="AD160" s="198"/>
      <c r="AE160" s="198"/>
      <c r="AF160" s="198"/>
      <c r="AG160" s="198"/>
      <c r="AH160" s="198"/>
      <c r="AI160" s="198"/>
    </row>
    <row r="161" spans="24:35" ht="12">
      <c r="X161" s="198"/>
      <c r="Y161" s="198"/>
      <c r="Z161" s="198"/>
      <c r="AA161" s="198"/>
      <c r="AB161" s="198"/>
      <c r="AC161" s="198"/>
      <c r="AD161" s="198"/>
      <c r="AE161" s="198"/>
      <c r="AF161" s="198"/>
      <c r="AG161" s="198"/>
      <c r="AH161" s="198"/>
      <c r="AI161" s="198"/>
    </row>
    <row r="162" spans="24:35" ht="12">
      <c r="X162" s="198"/>
      <c r="Y162" s="198"/>
      <c r="Z162" s="198"/>
      <c r="AA162" s="198"/>
      <c r="AB162" s="198"/>
      <c r="AC162" s="198"/>
      <c r="AD162" s="198"/>
      <c r="AE162" s="198"/>
      <c r="AF162" s="198"/>
      <c r="AG162" s="198"/>
      <c r="AH162" s="198"/>
      <c r="AI162" s="198"/>
    </row>
    <row r="163" spans="24:35" ht="12">
      <c r="X163" s="198"/>
      <c r="Y163" s="198"/>
      <c r="Z163" s="198"/>
      <c r="AA163" s="198"/>
      <c r="AB163" s="198"/>
      <c r="AC163" s="198"/>
      <c r="AD163" s="198"/>
      <c r="AE163" s="198"/>
      <c r="AF163" s="198"/>
      <c r="AG163" s="198"/>
      <c r="AH163" s="198"/>
      <c r="AI163" s="198"/>
    </row>
    <row r="164" spans="24:35" ht="12">
      <c r="X164" s="198"/>
      <c r="Y164" s="198"/>
      <c r="Z164" s="198"/>
      <c r="AA164" s="198"/>
      <c r="AB164" s="198"/>
      <c r="AC164" s="198"/>
      <c r="AD164" s="198"/>
      <c r="AE164" s="198"/>
      <c r="AF164" s="198"/>
      <c r="AG164" s="198"/>
      <c r="AH164" s="198"/>
      <c r="AI164" s="198"/>
    </row>
    <row r="165" spans="24:35" ht="12">
      <c r="X165" s="198"/>
      <c r="Y165" s="198"/>
      <c r="Z165" s="198"/>
      <c r="AA165" s="198"/>
      <c r="AB165" s="198"/>
      <c r="AC165" s="198"/>
      <c r="AD165" s="198"/>
      <c r="AE165" s="198"/>
      <c r="AF165" s="198"/>
      <c r="AG165" s="198"/>
      <c r="AH165" s="198"/>
      <c r="AI165" s="198"/>
    </row>
    <row r="166" spans="24:35" ht="12">
      <c r="X166" s="198"/>
      <c r="Y166" s="198"/>
      <c r="Z166" s="198"/>
      <c r="AA166" s="198"/>
      <c r="AB166" s="198"/>
      <c r="AC166" s="198"/>
      <c r="AD166" s="198"/>
      <c r="AE166" s="198"/>
      <c r="AF166" s="198"/>
      <c r="AG166" s="198"/>
      <c r="AH166" s="198"/>
      <c r="AI166" s="198"/>
    </row>
    <row r="167" spans="24:35" ht="12">
      <c r="X167" s="198"/>
      <c r="Y167" s="198"/>
      <c r="Z167" s="198"/>
      <c r="AA167" s="198"/>
      <c r="AB167" s="198"/>
      <c r="AC167" s="198"/>
      <c r="AD167" s="198"/>
      <c r="AE167" s="198"/>
      <c r="AF167" s="198"/>
      <c r="AG167" s="198"/>
      <c r="AH167" s="198"/>
      <c r="AI167" s="198"/>
    </row>
    <row r="168" spans="24:35" ht="12">
      <c r="X168" s="198"/>
      <c r="Y168" s="198"/>
      <c r="Z168" s="198"/>
      <c r="AA168" s="198"/>
      <c r="AB168" s="198"/>
      <c r="AC168" s="198"/>
      <c r="AD168" s="198"/>
      <c r="AE168" s="198"/>
      <c r="AF168" s="198"/>
      <c r="AG168" s="198"/>
      <c r="AH168" s="198"/>
      <c r="AI168" s="198"/>
    </row>
    <row r="169" spans="24:35" ht="12">
      <c r="X169" s="198"/>
      <c r="Y169" s="198"/>
      <c r="Z169" s="198"/>
      <c r="AA169" s="198"/>
      <c r="AB169" s="198"/>
      <c r="AC169" s="198"/>
      <c r="AD169" s="198"/>
      <c r="AE169" s="198"/>
      <c r="AF169" s="198"/>
      <c r="AG169" s="198"/>
      <c r="AH169" s="198"/>
      <c r="AI169" s="198"/>
    </row>
    <row r="170" spans="24:35" ht="12">
      <c r="X170" s="198"/>
      <c r="Y170" s="198"/>
      <c r="Z170" s="198"/>
      <c r="AA170" s="198"/>
      <c r="AB170" s="198"/>
      <c r="AC170" s="198"/>
      <c r="AD170" s="198"/>
      <c r="AE170" s="198"/>
      <c r="AF170" s="198"/>
      <c r="AG170" s="198"/>
      <c r="AH170" s="198"/>
      <c r="AI170" s="198"/>
    </row>
    <row r="171" spans="24:35" ht="12">
      <c r="X171" s="198"/>
      <c r="Y171" s="198"/>
      <c r="Z171" s="198"/>
      <c r="AA171" s="198"/>
      <c r="AB171" s="198"/>
      <c r="AC171" s="198"/>
      <c r="AD171" s="198"/>
      <c r="AE171" s="198"/>
      <c r="AF171" s="198"/>
      <c r="AG171" s="198"/>
      <c r="AH171" s="198"/>
      <c r="AI171" s="198"/>
    </row>
    <row r="172" spans="24:35" ht="12">
      <c r="X172" s="198"/>
      <c r="Y172" s="198"/>
      <c r="Z172" s="198"/>
      <c r="AA172" s="198"/>
      <c r="AB172" s="198"/>
      <c r="AC172" s="198"/>
      <c r="AD172" s="198"/>
      <c r="AE172" s="198"/>
      <c r="AF172" s="198"/>
      <c r="AG172" s="198"/>
      <c r="AH172" s="198"/>
      <c r="AI172" s="198"/>
    </row>
    <row r="173" spans="24:35" ht="12">
      <c r="X173" s="198"/>
      <c r="Y173" s="198"/>
      <c r="Z173" s="198"/>
      <c r="AA173" s="198"/>
      <c r="AB173" s="198"/>
      <c r="AC173" s="198"/>
      <c r="AD173" s="198"/>
      <c r="AE173" s="198"/>
      <c r="AF173" s="198"/>
      <c r="AG173" s="198"/>
      <c r="AH173" s="198"/>
      <c r="AI173" s="198"/>
    </row>
    <row r="174" spans="24:35" ht="12">
      <c r="X174" s="198"/>
      <c r="Y174" s="198"/>
      <c r="Z174" s="198"/>
      <c r="AA174" s="198"/>
      <c r="AB174" s="198"/>
      <c r="AC174" s="198"/>
      <c r="AD174" s="198"/>
      <c r="AE174" s="198"/>
      <c r="AF174" s="198"/>
      <c r="AG174" s="198"/>
      <c r="AH174" s="198"/>
      <c r="AI174" s="198"/>
    </row>
    <row r="175" spans="24:35" ht="12">
      <c r="X175" s="198"/>
      <c r="Y175" s="198"/>
      <c r="Z175" s="198"/>
      <c r="AA175" s="198"/>
      <c r="AB175" s="198"/>
      <c r="AC175" s="198"/>
      <c r="AD175" s="198"/>
      <c r="AE175" s="198"/>
      <c r="AF175" s="198"/>
      <c r="AG175" s="198"/>
      <c r="AH175" s="198"/>
      <c r="AI175" s="198"/>
    </row>
    <row r="176" spans="24:35" ht="12">
      <c r="X176" s="198"/>
      <c r="Y176" s="198"/>
      <c r="Z176" s="198"/>
      <c r="AA176" s="198"/>
      <c r="AB176" s="198"/>
      <c r="AC176" s="198"/>
      <c r="AD176" s="198"/>
      <c r="AE176" s="198"/>
      <c r="AF176" s="198"/>
      <c r="AG176" s="198"/>
      <c r="AH176" s="198"/>
      <c r="AI176" s="198"/>
    </row>
    <row r="177" spans="24:35" ht="12">
      <c r="X177" s="198"/>
      <c r="Y177" s="198"/>
      <c r="Z177" s="198"/>
      <c r="AA177" s="198"/>
      <c r="AB177" s="198"/>
      <c r="AC177" s="198"/>
      <c r="AD177" s="198"/>
      <c r="AE177" s="198"/>
      <c r="AF177" s="198"/>
      <c r="AG177" s="198"/>
      <c r="AH177" s="198"/>
      <c r="AI177" s="198"/>
    </row>
    <row r="178" spans="24:35" ht="12">
      <c r="X178" s="198"/>
      <c r="Y178" s="198"/>
      <c r="Z178" s="198"/>
      <c r="AA178" s="198"/>
      <c r="AB178" s="198"/>
      <c r="AC178" s="198"/>
      <c r="AD178" s="198"/>
      <c r="AE178" s="198"/>
      <c r="AF178" s="198"/>
      <c r="AG178" s="198"/>
      <c r="AH178" s="198"/>
      <c r="AI178" s="198"/>
    </row>
    <row r="179" spans="24:35" ht="12">
      <c r="X179" s="198"/>
      <c r="Y179" s="198"/>
      <c r="Z179" s="198"/>
      <c r="AA179" s="198"/>
      <c r="AB179" s="198"/>
      <c r="AC179" s="198"/>
      <c r="AD179" s="198"/>
      <c r="AE179" s="198"/>
      <c r="AF179" s="198"/>
      <c r="AG179" s="198"/>
      <c r="AH179" s="198"/>
      <c r="AI179" s="198"/>
    </row>
    <row r="180" spans="24:35" ht="12">
      <c r="X180" s="198"/>
      <c r="Y180" s="198"/>
      <c r="Z180" s="198"/>
      <c r="AA180" s="198"/>
      <c r="AB180" s="198"/>
      <c r="AC180" s="198"/>
      <c r="AD180" s="198"/>
      <c r="AE180" s="198"/>
      <c r="AF180" s="198"/>
      <c r="AG180" s="198"/>
      <c r="AH180" s="198"/>
      <c r="AI180" s="198"/>
    </row>
    <row r="181" spans="24:35" ht="12">
      <c r="X181" s="198"/>
      <c r="Y181" s="198"/>
      <c r="Z181" s="198"/>
      <c r="AA181" s="198"/>
      <c r="AB181" s="198"/>
      <c r="AC181" s="198"/>
      <c r="AD181" s="198"/>
      <c r="AE181" s="198"/>
      <c r="AF181" s="198"/>
      <c r="AG181" s="198"/>
      <c r="AH181" s="198"/>
      <c r="AI181" s="198"/>
    </row>
    <row r="182" spans="24:35" ht="12">
      <c r="X182" s="198"/>
      <c r="Y182" s="198"/>
      <c r="Z182" s="198"/>
      <c r="AA182" s="198"/>
      <c r="AB182" s="198"/>
      <c r="AC182" s="198"/>
      <c r="AD182" s="198"/>
      <c r="AE182" s="198"/>
      <c r="AF182" s="198"/>
      <c r="AG182" s="198"/>
      <c r="AH182" s="198"/>
      <c r="AI182" s="198"/>
    </row>
    <row r="183" spans="24:35" ht="12">
      <c r="X183" s="198"/>
      <c r="Y183" s="198"/>
      <c r="Z183" s="198"/>
      <c r="AA183" s="198"/>
      <c r="AB183" s="198"/>
      <c r="AC183" s="198"/>
      <c r="AD183" s="198"/>
      <c r="AE183" s="198"/>
      <c r="AF183" s="198"/>
      <c r="AG183" s="198"/>
      <c r="AH183" s="198"/>
      <c r="AI183" s="198"/>
    </row>
    <row r="184" spans="24:35" ht="12">
      <c r="X184" s="198"/>
      <c r="Y184" s="198"/>
      <c r="Z184" s="198"/>
      <c r="AA184" s="198"/>
      <c r="AB184" s="198"/>
      <c r="AC184" s="198"/>
      <c r="AD184" s="198"/>
      <c r="AE184" s="198"/>
      <c r="AF184" s="198"/>
      <c r="AG184" s="198"/>
      <c r="AH184" s="198"/>
      <c r="AI184" s="198"/>
    </row>
    <row r="185" spans="24:35" ht="12">
      <c r="X185" s="198"/>
      <c r="Y185" s="198"/>
      <c r="Z185" s="198"/>
      <c r="AA185" s="198"/>
      <c r="AB185" s="198"/>
      <c r="AC185" s="198"/>
      <c r="AD185" s="198"/>
      <c r="AE185" s="198"/>
      <c r="AF185" s="198"/>
      <c r="AG185" s="198"/>
      <c r="AH185" s="198"/>
      <c r="AI185" s="198"/>
    </row>
    <row r="186" spans="24:35" ht="12">
      <c r="X186" s="198"/>
      <c r="Y186" s="198"/>
      <c r="Z186" s="198"/>
      <c r="AA186" s="198"/>
      <c r="AB186" s="198"/>
      <c r="AC186" s="198"/>
      <c r="AD186" s="198"/>
      <c r="AE186" s="198"/>
      <c r="AF186" s="198"/>
      <c r="AG186" s="198"/>
      <c r="AH186" s="198"/>
      <c r="AI186" s="198"/>
    </row>
    <row r="187" spans="24:35" ht="12">
      <c r="X187" s="198"/>
      <c r="Y187" s="198"/>
      <c r="Z187" s="198"/>
      <c r="AA187" s="198"/>
      <c r="AB187" s="198"/>
      <c r="AC187" s="198"/>
      <c r="AD187" s="198"/>
      <c r="AE187" s="198"/>
      <c r="AF187" s="198"/>
      <c r="AG187" s="198"/>
      <c r="AH187" s="198"/>
      <c r="AI187" s="198"/>
    </row>
    <row r="188" spans="24:35" ht="12">
      <c r="X188" s="198"/>
      <c r="Y188" s="198"/>
      <c r="Z188" s="198"/>
      <c r="AA188" s="198"/>
      <c r="AB188" s="198"/>
      <c r="AC188" s="198"/>
      <c r="AD188" s="198"/>
      <c r="AE188" s="198"/>
      <c r="AF188" s="198"/>
      <c r="AG188" s="198"/>
      <c r="AH188" s="198"/>
      <c r="AI188" s="198"/>
    </row>
    <row r="189" spans="24:35" ht="12">
      <c r="X189" s="198"/>
      <c r="Y189" s="198"/>
      <c r="Z189" s="198"/>
      <c r="AA189" s="198"/>
      <c r="AB189" s="198"/>
      <c r="AC189" s="198"/>
      <c r="AD189" s="198"/>
      <c r="AE189" s="198"/>
      <c r="AF189" s="198"/>
      <c r="AG189" s="198"/>
      <c r="AH189" s="198"/>
      <c r="AI189" s="198"/>
    </row>
    <row r="190" spans="24:35" ht="12">
      <c r="X190" s="198"/>
      <c r="Y190" s="198"/>
      <c r="Z190" s="198"/>
      <c r="AA190" s="198"/>
      <c r="AB190" s="198"/>
      <c r="AC190" s="198"/>
      <c r="AD190" s="198"/>
      <c r="AE190" s="198"/>
      <c r="AF190" s="198"/>
      <c r="AG190" s="198"/>
      <c r="AH190" s="198"/>
      <c r="AI190" s="198"/>
    </row>
    <row r="191" spans="24:35" ht="12">
      <c r="X191" s="198"/>
      <c r="Y191" s="198"/>
      <c r="Z191" s="198"/>
      <c r="AA191" s="198"/>
      <c r="AB191" s="198"/>
      <c r="AC191" s="198"/>
      <c r="AD191" s="198"/>
      <c r="AE191" s="198"/>
      <c r="AF191" s="198"/>
      <c r="AG191" s="198"/>
      <c r="AH191" s="198"/>
      <c r="AI191" s="198"/>
    </row>
    <row r="192" spans="24:35" ht="12">
      <c r="X192" s="198"/>
      <c r="Y192" s="198"/>
      <c r="Z192" s="198"/>
      <c r="AA192" s="198"/>
      <c r="AB192" s="198"/>
      <c r="AC192" s="198"/>
      <c r="AD192" s="198"/>
      <c r="AE192" s="198"/>
      <c r="AF192" s="198"/>
      <c r="AG192" s="198"/>
      <c r="AH192" s="198"/>
      <c r="AI192" s="198"/>
    </row>
    <row r="193" spans="24:35" ht="12">
      <c r="X193" s="198"/>
      <c r="Y193" s="198"/>
      <c r="Z193" s="198"/>
      <c r="AA193" s="198"/>
      <c r="AB193" s="198"/>
      <c r="AC193" s="198"/>
      <c r="AD193" s="198"/>
      <c r="AE193" s="198"/>
      <c r="AF193" s="198"/>
      <c r="AG193" s="198"/>
      <c r="AH193" s="198"/>
      <c r="AI193" s="198"/>
    </row>
    <row r="194" spans="24:35" ht="12">
      <c r="X194" s="198"/>
      <c r="Y194" s="198"/>
      <c r="Z194" s="198"/>
      <c r="AA194" s="198"/>
      <c r="AB194" s="198"/>
      <c r="AC194" s="198"/>
      <c r="AD194" s="198"/>
      <c r="AE194" s="198"/>
      <c r="AF194" s="198"/>
      <c r="AG194" s="198"/>
      <c r="AH194" s="198"/>
      <c r="AI194" s="198"/>
    </row>
    <row r="195" spans="24:35" ht="12">
      <c r="X195" s="198"/>
      <c r="Y195" s="198"/>
      <c r="Z195" s="198"/>
      <c r="AA195" s="198"/>
      <c r="AB195" s="198"/>
      <c r="AC195" s="198"/>
      <c r="AD195" s="198"/>
      <c r="AE195" s="198"/>
      <c r="AF195" s="198"/>
      <c r="AG195" s="198"/>
      <c r="AH195" s="198"/>
      <c r="AI195" s="198"/>
    </row>
    <row r="196" spans="24:35" ht="12">
      <c r="X196" s="198"/>
      <c r="Y196" s="198"/>
      <c r="Z196" s="198"/>
      <c r="AA196" s="198"/>
      <c r="AB196" s="198"/>
      <c r="AC196" s="198"/>
      <c r="AD196" s="198"/>
      <c r="AE196" s="198"/>
      <c r="AF196" s="198"/>
      <c r="AG196" s="198"/>
      <c r="AH196" s="198"/>
      <c r="AI196" s="198"/>
    </row>
    <row r="197" spans="24:35" ht="12">
      <c r="X197" s="198"/>
      <c r="Y197" s="198"/>
      <c r="Z197" s="198"/>
      <c r="AA197" s="198"/>
      <c r="AB197" s="198"/>
      <c r="AC197" s="198"/>
      <c r="AD197" s="198"/>
      <c r="AE197" s="198"/>
      <c r="AF197" s="198"/>
      <c r="AG197" s="198"/>
      <c r="AH197" s="198"/>
      <c r="AI197" s="198"/>
    </row>
    <row r="198" spans="24:35" ht="12">
      <c r="X198" s="198"/>
      <c r="Y198" s="198"/>
      <c r="Z198" s="198"/>
      <c r="AA198" s="198"/>
      <c r="AB198" s="198"/>
      <c r="AC198" s="198"/>
      <c r="AD198" s="198"/>
      <c r="AE198" s="198"/>
      <c r="AF198" s="198"/>
      <c r="AG198" s="198"/>
      <c r="AH198" s="198"/>
      <c r="AI198" s="198"/>
    </row>
    <row r="199" spans="24:35" ht="12">
      <c r="X199" s="198"/>
      <c r="Y199" s="198"/>
      <c r="Z199" s="198"/>
      <c r="AA199" s="198"/>
      <c r="AB199" s="198"/>
      <c r="AC199" s="198"/>
      <c r="AD199" s="198"/>
      <c r="AE199" s="198"/>
      <c r="AF199" s="198"/>
      <c r="AG199" s="198"/>
      <c r="AH199" s="198"/>
      <c r="AI199" s="198"/>
    </row>
    <row r="200" spans="24:35" ht="12">
      <c r="X200" s="198"/>
      <c r="Y200" s="198"/>
      <c r="Z200" s="198"/>
      <c r="AA200" s="198"/>
      <c r="AB200" s="198"/>
      <c r="AC200" s="198"/>
      <c r="AD200" s="198"/>
      <c r="AE200" s="198"/>
      <c r="AF200" s="198"/>
      <c r="AG200" s="198"/>
      <c r="AH200" s="198"/>
      <c r="AI200" s="198"/>
    </row>
    <row r="201" spans="24:35" ht="12">
      <c r="X201" s="198"/>
      <c r="Y201" s="198"/>
      <c r="Z201" s="198"/>
      <c r="AA201" s="198"/>
      <c r="AB201" s="198"/>
      <c r="AC201" s="198"/>
      <c r="AD201" s="198"/>
      <c r="AE201" s="198"/>
      <c r="AF201" s="198"/>
      <c r="AG201" s="198"/>
      <c r="AH201" s="198"/>
      <c r="AI201" s="198"/>
    </row>
    <row r="202" spans="24:35" ht="12">
      <c r="X202" s="198"/>
      <c r="Y202" s="198"/>
      <c r="Z202" s="198"/>
      <c r="AA202" s="198"/>
      <c r="AB202" s="198"/>
      <c r="AC202" s="198"/>
      <c r="AD202" s="198"/>
      <c r="AE202" s="198"/>
      <c r="AF202" s="198"/>
      <c r="AG202" s="198"/>
      <c r="AH202" s="198"/>
      <c r="AI202" s="198"/>
    </row>
    <row r="203" spans="24:35" ht="12">
      <c r="X203" s="198"/>
      <c r="Y203" s="198"/>
      <c r="Z203" s="198"/>
      <c r="AA203" s="198"/>
      <c r="AB203" s="198"/>
      <c r="AC203" s="198"/>
      <c r="AD203" s="198"/>
      <c r="AE203" s="198"/>
      <c r="AF203" s="198"/>
      <c r="AG203" s="198"/>
      <c r="AH203" s="198"/>
      <c r="AI203" s="198"/>
    </row>
    <row r="204" spans="24:35" ht="12">
      <c r="X204" s="198"/>
      <c r="Y204" s="198"/>
      <c r="Z204" s="198"/>
      <c r="AA204" s="198"/>
      <c r="AB204" s="198"/>
      <c r="AC204" s="198"/>
      <c r="AD204" s="198"/>
      <c r="AE204" s="198"/>
      <c r="AF204" s="198"/>
      <c r="AG204" s="198"/>
      <c r="AH204" s="198"/>
      <c r="AI204" s="198"/>
    </row>
    <row r="205" spans="24:35" ht="12">
      <c r="X205" s="198"/>
      <c r="Y205" s="198"/>
      <c r="Z205" s="198"/>
      <c r="AA205" s="198"/>
      <c r="AB205" s="198"/>
      <c r="AC205" s="198"/>
      <c r="AD205" s="198"/>
      <c r="AE205" s="198"/>
      <c r="AF205" s="198"/>
      <c r="AG205" s="198"/>
      <c r="AH205" s="198"/>
      <c r="AI205" s="198"/>
    </row>
    <row r="206" spans="24:35" ht="12">
      <c r="X206" s="198"/>
      <c r="Y206" s="198"/>
      <c r="Z206" s="198"/>
      <c r="AA206" s="198"/>
      <c r="AB206" s="198"/>
      <c r="AC206" s="198"/>
      <c r="AD206" s="198"/>
      <c r="AE206" s="198"/>
      <c r="AF206" s="198"/>
      <c r="AG206" s="198"/>
      <c r="AH206" s="198"/>
      <c r="AI206" s="198"/>
    </row>
    <row r="207" spans="24:35" ht="12">
      <c r="X207" s="198"/>
      <c r="Y207" s="198"/>
      <c r="Z207" s="198"/>
      <c r="AA207" s="198"/>
      <c r="AB207" s="198"/>
      <c r="AC207" s="198"/>
      <c r="AD207" s="198"/>
      <c r="AE207" s="198"/>
      <c r="AF207" s="198"/>
      <c r="AG207" s="198"/>
      <c r="AH207" s="198"/>
      <c r="AI207" s="198"/>
    </row>
    <row r="208" spans="24:35" ht="12">
      <c r="X208" s="198"/>
      <c r="Y208" s="198"/>
      <c r="Z208" s="198"/>
      <c r="AA208" s="198"/>
      <c r="AB208" s="198"/>
      <c r="AC208" s="198"/>
      <c r="AD208" s="198"/>
      <c r="AE208" s="198"/>
      <c r="AF208" s="198"/>
      <c r="AG208" s="198"/>
      <c r="AH208" s="198"/>
      <c r="AI208" s="198"/>
    </row>
    <row r="209" spans="24:35" ht="12">
      <c r="X209" s="198"/>
      <c r="Y209" s="198"/>
      <c r="Z209" s="198"/>
      <c r="AA209" s="198"/>
      <c r="AB209" s="198"/>
      <c r="AC209" s="198"/>
      <c r="AD209" s="198"/>
      <c r="AE209" s="198"/>
      <c r="AF209" s="198"/>
      <c r="AG209" s="198"/>
      <c r="AH209" s="198"/>
      <c r="AI209" s="198"/>
    </row>
    <row r="210" spans="24:35" ht="12">
      <c r="X210" s="198"/>
      <c r="Y210" s="198"/>
      <c r="Z210" s="198"/>
      <c r="AA210" s="198"/>
      <c r="AB210" s="198"/>
      <c r="AC210" s="198"/>
      <c r="AD210" s="198"/>
      <c r="AE210" s="198"/>
      <c r="AF210" s="198"/>
      <c r="AG210" s="198"/>
      <c r="AH210" s="198"/>
      <c r="AI210" s="198"/>
    </row>
    <row r="211" spans="24:35" ht="12">
      <c r="X211" s="198"/>
      <c r="Y211" s="198"/>
      <c r="Z211" s="198"/>
      <c r="AA211" s="198"/>
      <c r="AB211" s="198"/>
      <c r="AC211" s="198"/>
      <c r="AD211" s="198"/>
      <c r="AE211" s="198"/>
      <c r="AF211" s="198"/>
      <c r="AG211" s="198"/>
      <c r="AH211" s="198"/>
      <c r="AI211" s="198"/>
    </row>
    <row r="212" spans="24:35" ht="12">
      <c r="X212" s="198"/>
      <c r="Y212" s="198"/>
      <c r="Z212" s="198"/>
      <c r="AA212" s="198"/>
      <c r="AB212" s="198"/>
      <c r="AC212" s="198"/>
      <c r="AD212" s="198"/>
      <c r="AE212" s="198"/>
      <c r="AF212" s="198"/>
      <c r="AG212" s="198"/>
      <c r="AH212" s="198"/>
      <c r="AI212" s="198"/>
    </row>
    <row r="213" spans="24:35" ht="12">
      <c r="X213" s="198"/>
      <c r="Y213" s="198"/>
      <c r="Z213" s="198"/>
      <c r="AA213" s="198"/>
      <c r="AB213" s="198"/>
      <c r="AC213" s="198"/>
      <c r="AD213" s="198"/>
      <c r="AE213" s="198"/>
      <c r="AF213" s="198"/>
      <c r="AG213" s="198"/>
      <c r="AH213" s="198"/>
      <c r="AI213" s="198"/>
    </row>
    <row r="214" spans="24:35" ht="12">
      <c r="X214" s="198"/>
      <c r="Y214" s="198"/>
      <c r="Z214" s="198"/>
      <c r="AA214" s="198"/>
      <c r="AB214" s="198"/>
      <c r="AC214" s="198"/>
      <c r="AD214" s="198"/>
      <c r="AE214" s="198"/>
      <c r="AF214" s="198"/>
      <c r="AG214" s="198"/>
      <c r="AH214" s="198"/>
      <c r="AI214" s="198"/>
    </row>
    <row r="215" spans="24:35" ht="12">
      <c r="X215" s="198"/>
      <c r="Y215" s="198"/>
      <c r="Z215" s="198"/>
      <c r="AA215" s="198"/>
      <c r="AB215" s="198"/>
      <c r="AC215" s="198"/>
      <c r="AD215" s="198"/>
      <c r="AE215" s="198"/>
      <c r="AF215" s="198"/>
      <c r="AG215" s="198"/>
      <c r="AH215" s="198"/>
      <c r="AI215" s="198"/>
    </row>
    <row r="216" spans="24:35" ht="12">
      <c r="X216" s="198"/>
      <c r="Y216" s="198"/>
      <c r="Z216" s="198"/>
      <c r="AA216" s="198"/>
      <c r="AB216" s="198"/>
      <c r="AC216" s="198"/>
      <c r="AD216" s="198"/>
      <c r="AE216" s="198"/>
      <c r="AF216" s="198"/>
      <c r="AG216" s="198"/>
      <c r="AH216" s="198"/>
      <c r="AI216" s="198"/>
    </row>
    <row r="217" spans="24:35" ht="12">
      <c r="X217" s="198"/>
      <c r="Y217" s="198"/>
      <c r="Z217" s="198"/>
      <c r="AA217" s="198"/>
      <c r="AB217" s="198"/>
      <c r="AC217" s="198"/>
      <c r="AD217" s="198"/>
      <c r="AE217" s="198"/>
      <c r="AF217" s="198"/>
      <c r="AG217" s="198"/>
      <c r="AH217" s="198"/>
      <c r="AI217" s="198"/>
    </row>
    <row r="218" spans="24:35" ht="12">
      <c r="X218" s="198"/>
      <c r="Y218" s="198"/>
      <c r="Z218" s="198"/>
      <c r="AA218" s="198"/>
      <c r="AB218" s="198"/>
      <c r="AC218" s="198"/>
      <c r="AD218" s="198"/>
      <c r="AE218" s="198"/>
      <c r="AF218" s="198"/>
      <c r="AG218" s="198"/>
      <c r="AH218" s="198"/>
      <c r="AI218" s="198"/>
    </row>
    <row r="219" spans="24:35" ht="12">
      <c r="X219" s="198"/>
      <c r="Y219" s="198"/>
      <c r="Z219" s="198"/>
      <c r="AA219" s="198"/>
      <c r="AB219" s="198"/>
      <c r="AC219" s="198"/>
      <c r="AD219" s="198"/>
      <c r="AE219" s="198"/>
      <c r="AF219" s="198"/>
      <c r="AG219" s="198"/>
      <c r="AH219" s="198"/>
      <c r="AI219" s="198"/>
    </row>
    <row r="220" spans="24:35" ht="12">
      <c r="X220" s="198"/>
      <c r="Y220" s="198"/>
      <c r="Z220" s="198"/>
      <c r="AA220" s="198"/>
      <c r="AB220" s="198"/>
      <c r="AC220" s="198"/>
      <c r="AD220" s="198"/>
      <c r="AE220" s="198"/>
      <c r="AF220" s="198"/>
      <c r="AG220" s="198"/>
      <c r="AH220" s="198"/>
      <c r="AI220" s="198"/>
    </row>
    <row r="221" spans="24:35" ht="12">
      <c r="X221" s="198"/>
      <c r="Y221" s="198"/>
      <c r="Z221" s="198"/>
      <c r="AA221" s="198"/>
      <c r="AB221" s="198"/>
      <c r="AC221" s="198"/>
      <c r="AD221" s="198"/>
      <c r="AE221" s="198"/>
      <c r="AF221" s="198"/>
      <c r="AG221" s="198"/>
      <c r="AH221" s="198"/>
      <c r="AI221" s="198"/>
    </row>
    <row r="222" spans="24:35" ht="12">
      <c r="X222" s="198"/>
      <c r="Y222" s="198"/>
      <c r="Z222" s="198"/>
      <c r="AA222" s="198"/>
      <c r="AB222" s="198"/>
      <c r="AC222" s="198"/>
      <c r="AD222" s="198"/>
      <c r="AE222" s="198"/>
      <c r="AF222" s="198"/>
      <c r="AG222" s="198"/>
      <c r="AH222" s="198"/>
      <c r="AI222" s="198"/>
    </row>
    <row r="223" spans="24:35" ht="12">
      <c r="X223" s="198"/>
      <c r="Y223" s="198"/>
      <c r="Z223" s="198"/>
      <c r="AA223" s="198"/>
      <c r="AB223" s="198"/>
      <c r="AC223" s="198"/>
      <c r="AD223" s="198"/>
      <c r="AE223" s="198"/>
      <c r="AF223" s="198"/>
      <c r="AG223" s="198"/>
      <c r="AH223" s="198"/>
      <c r="AI223" s="198"/>
    </row>
    <row r="224" spans="24:35" ht="12">
      <c r="X224" s="198"/>
      <c r="Y224" s="198"/>
      <c r="Z224" s="198"/>
      <c r="AA224" s="198"/>
      <c r="AB224" s="198"/>
      <c r="AC224" s="198"/>
      <c r="AD224" s="198"/>
      <c r="AE224" s="198"/>
      <c r="AF224" s="198"/>
      <c r="AG224" s="198"/>
      <c r="AH224" s="198"/>
      <c r="AI224" s="198"/>
    </row>
    <row r="225" spans="24:35" ht="12">
      <c r="X225" s="198"/>
      <c r="Y225" s="198"/>
      <c r="Z225" s="198"/>
      <c r="AA225" s="198"/>
      <c r="AB225" s="198"/>
      <c r="AC225" s="198"/>
      <c r="AD225" s="198"/>
      <c r="AE225" s="198"/>
      <c r="AF225" s="198"/>
      <c r="AG225" s="198"/>
      <c r="AH225" s="198"/>
      <c r="AI225" s="198"/>
    </row>
    <row r="226" spans="24:35" ht="12">
      <c r="X226" s="198"/>
      <c r="Y226" s="198"/>
      <c r="Z226" s="198"/>
      <c r="AA226" s="198"/>
      <c r="AB226" s="198"/>
      <c r="AC226" s="198"/>
      <c r="AD226" s="198"/>
      <c r="AE226" s="198"/>
      <c r="AF226" s="198"/>
      <c r="AG226" s="198"/>
      <c r="AH226" s="198"/>
      <c r="AI226" s="198"/>
    </row>
    <row r="227" spans="24:35" ht="12">
      <c r="X227" s="198"/>
      <c r="Y227" s="198"/>
      <c r="Z227" s="198"/>
      <c r="AA227" s="198"/>
      <c r="AB227" s="198"/>
      <c r="AC227" s="198"/>
      <c r="AD227" s="198"/>
      <c r="AE227" s="198"/>
      <c r="AF227" s="198"/>
      <c r="AG227" s="198"/>
      <c r="AH227" s="198"/>
      <c r="AI227" s="198"/>
    </row>
    <row r="228" spans="24:35" ht="12">
      <c r="X228" s="198"/>
      <c r="Y228" s="198"/>
      <c r="Z228" s="198"/>
      <c r="AA228" s="198"/>
      <c r="AB228" s="198"/>
      <c r="AC228" s="198"/>
      <c r="AD228" s="198"/>
      <c r="AE228" s="198"/>
      <c r="AF228" s="198"/>
      <c r="AG228" s="198"/>
      <c r="AH228" s="198"/>
      <c r="AI228" s="198"/>
    </row>
    <row r="229" spans="24:35" ht="12">
      <c r="X229" s="198"/>
      <c r="Y229" s="198"/>
      <c r="Z229" s="198"/>
      <c r="AA229" s="198"/>
      <c r="AB229" s="198"/>
      <c r="AC229" s="198"/>
      <c r="AD229" s="198"/>
      <c r="AE229" s="198"/>
      <c r="AF229" s="198"/>
      <c r="AG229" s="198"/>
      <c r="AH229" s="198"/>
      <c r="AI229" s="198"/>
    </row>
    <row r="230" spans="24:35" ht="12">
      <c r="X230" s="198"/>
      <c r="Y230" s="198"/>
      <c r="Z230" s="198"/>
      <c r="AA230" s="198"/>
      <c r="AB230" s="198"/>
      <c r="AC230" s="198"/>
      <c r="AD230" s="198"/>
      <c r="AE230" s="198"/>
      <c r="AF230" s="198"/>
      <c r="AG230" s="198"/>
      <c r="AH230" s="198"/>
      <c r="AI230" s="198"/>
    </row>
    <row r="231" spans="24:35" ht="12">
      <c r="X231" s="198"/>
      <c r="Y231" s="198"/>
      <c r="Z231" s="198"/>
      <c r="AA231" s="198"/>
      <c r="AB231" s="198"/>
      <c r="AC231" s="198"/>
      <c r="AD231" s="198"/>
      <c r="AE231" s="198"/>
      <c r="AF231" s="198"/>
      <c r="AG231" s="198"/>
      <c r="AH231" s="198"/>
      <c r="AI231" s="198"/>
    </row>
    <row r="232" spans="24:35" ht="12">
      <c r="X232" s="198"/>
      <c r="Y232" s="198"/>
      <c r="Z232" s="198"/>
      <c r="AA232" s="198"/>
      <c r="AB232" s="198"/>
      <c r="AC232" s="198"/>
      <c r="AD232" s="198"/>
      <c r="AE232" s="198"/>
      <c r="AF232" s="198"/>
      <c r="AG232" s="198"/>
      <c r="AH232" s="198"/>
      <c r="AI232" s="198"/>
    </row>
    <row r="233" spans="24:35" ht="12">
      <c r="X233" s="198"/>
      <c r="Y233" s="198"/>
      <c r="Z233" s="198"/>
      <c r="AA233" s="198"/>
      <c r="AB233" s="198"/>
      <c r="AC233" s="198"/>
      <c r="AD233" s="198"/>
      <c r="AE233" s="198"/>
      <c r="AF233" s="198"/>
      <c r="AG233" s="198"/>
      <c r="AH233" s="198"/>
      <c r="AI233" s="198"/>
    </row>
    <row r="234" spans="24:35" ht="12">
      <c r="X234" s="198"/>
      <c r="Y234" s="198"/>
      <c r="Z234" s="198"/>
      <c r="AA234" s="198"/>
      <c r="AB234" s="198"/>
      <c r="AC234" s="198"/>
      <c r="AD234" s="198"/>
      <c r="AE234" s="198"/>
      <c r="AF234" s="198"/>
      <c r="AG234" s="198"/>
      <c r="AH234" s="198"/>
      <c r="AI234" s="198"/>
    </row>
    <row r="235" spans="24:35" ht="12">
      <c r="X235" s="198"/>
      <c r="Y235" s="198"/>
      <c r="Z235" s="198"/>
      <c r="AA235" s="198"/>
      <c r="AB235" s="198"/>
      <c r="AC235" s="198"/>
      <c r="AD235" s="198"/>
      <c r="AE235" s="198"/>
      <c r="AF235" s="198"/>
      <c r="AG235" s="198"/>
      <c r="AH235" s="198"/>
      <c r="AI235" s="198"/>
    </row>
    <row r="236" spans="24:35" ht="12">
      <c r="X236" s="198"/>
      <c r="Y236" s="198"/>
      <c r="Z236" s="198"/>
      <c r="AA236" s="198"/>
      <c r="AB236" s="198"/>
      <c r="AC236" s="198"/>
      <c r="AD236" s="198"/>
      <c r="AE236" s="198"/>
      <c r="AF236" s="198"/>
      <c r="AG236" s="198"/>
      <c r="AH236" s="198"/>
      <c r="AI236" s="198"/>
    </row>
    <row r="237" spans="24:35" ht="12">
      <c r="X237" s="198"/>
      <c r="Y237" s="198"/>
      <c r="Z237" s="198"/>
      <c r="AA237" s="198"/>
      <c r="AB237" s="198"/>
      <c r="AC237" s="198"/>
      <c r="AD237" s="198"/>
      <c r="AE237" s="198"/>
      <c r="AF237" s="198"/>
      <c r="AG237" s="198"/>
      <c r="AH237" s="198"/>
      <c r="AI237" s="198"/>
    </row>
    <row r="238" spans="24:35" ht="12">
      <c r="X238" s="198"/>
      <c r="Y238" s="198"/>
      <c r="Z238" s="198"/>
      <c r="AA238" s="198"/>
      <c r="AB238" s="198"/>
      <c r="AC238" s="198"/>
      <c r="AD238" s="198"/>
      <c r="AE238" s="198"/>
      <c r="AF238" s="198"/>
      <c r="AG238" s="198"/>
      <c r="AH238" s="198"/>
      <c r="AI238" s="198"/>
    </row>
    <row r="239" spans="24:35" ht="12">
      <c r="X239" s="198"/>
      <c r="Y239" s="198"/>
      <c r="Z239" s="198"/>
      <c r="AA239" s="198"/>
      <c r="AB239" s="198"/>
      <c r="AC239" s="198"/>
      <c r="AD239" s="198"/>
      <c r="AE239" s="198"/>
      <c r="AF239" s="198"/>
      <c r="AG239" s="198"/>
      <c r="AH239" s="198"/>
      <c r="AI239" s="198"/>
    </row>
    <row r="240" spans="24:35" ht="12">
      <c r="X240" s="198"/>
      <c r="Y240" s="198"/>
      <c r="Z240" s="198"/>
      <c r="AA240" s="198"/>
      <c r="AB240" s="198"/>
      <c r="AC240" s="198"/>
      <c r="AD240" s="198"/>
      <c r="AE240" s="198"/>
      <c r="AF240" s="198"/>
      <c r="AG240" s="198"/>
      <c r="AH240" s="198"/>
      <c r="AI240" s="198"/>
    </row>
    <row r="241" spans="24:35" ht="12">
      <c r="X241" s="198"/>
      <c r="Y241" s="198"/>
      <c r="Z241" s="198"/>
      <c r="AA241" s="198"/>
      <c r="AB241" s="198"/>
      <c r="AC241" s="198"/>
      <c r="AD241" s="198"/>
      <c r="AE241" s="198"/>
      <c r="AF241" s="198"/>
      <c r="AG241" s="198"/>
      <c r="AH241" s="198"/>
      <c r="AI241" s="198"/>
    </row>
    <row r="242" spans="24:35" ht="12">
      <c r="X242" s="198"/>
      <c r="Y242" s="198"/>
      <c r="Z242" s="198"/>
      <c r="AA242" s="198"/>
      <c r="AB242" s="198"/>
      <c r="AC242" s="198"/>
      <c r="AD242" s="198"/>
      <c r="AE242" s="198"/>
      <c r="AF242" s="198"/>
      <c r="AG242" s="198"/>
      <c r="AH242" s="198"/>
      <c r="AI242" s="198"/>
    </row>
    <row r="243" spans="24:35" ht="12">
      <c r="X243" s="198"/>
      <c r="Y243" s="198"/>
      <c r="Z243" s="198"/>
      <c r="AA243" s="198"/>
      <c r="AB243" s="198"/>
      <c r="AC243" s="198"/>
      <c r="AD243" s="198"/>
      <c r="AE243" s="198"/>
      <c r="AF243" s="198"/>
      <c r="AG243" s="198"/>
      <c r="AH243" s="198"/>
      <c r="AI243" s="198"/>
    </row>
    <row r="244" spans="24:35" ht="12">
      <c r="X244" s="198"/>
      <c r="Y244" s="198"/>
      <c r="Z244" s="198"/>
      <c r="AA244" s="198"/>
      <c r="AB244" s="198"/>
      <c r="AC244" s="198"/>
      <c r="AD244" s="198"/>
      <c r="AE244" s="198"/>
      <c r="AF244" s="198"/>
      <c r="AG244" s="198"/>
      <c r="AH244" s="198"/>
      <c r="AI244" s="198"/>
    </row>
    <row r="245" spans="24:35" ht="12">
      <c r="X245" s="198"/>
      <c r="Y245" s="198"/>
      <c r="Z245" s="198"/>
      <c r="AA245" s="198"/>
      <c r="AB245" s="198"/>
      <c r="AC245" s="198"/>
      <c r="AD245" s="198"/>
      <c r="AE245" s="198"/>
      <c r="AF245" s="198"/>
      <c r="AG245" s="198"/>
      <c r="AH245" s="198"/>
      <c r="AI245" s="198"/>
    </row>
    <row r="246" spans="24:35" ht="12">
      <c r="X246" s="198"/>
      <c r="Y246" s="198"/>
      <c r="Z246" s="198"/>
      <c r="AA246" s="198"/>
      <c r="AB246" s="198"/>
      <c r="AC246" s="198"/>
      <c r="AD246" s="198"/>
      <c r="AE246" s="198"/>
      <c r="AF246" s="198"/>
      <c r="AG246" s="198"/>
      <c r="AH246" s="198"/>
      <c r="AI246" s="198"/>
    </row>
    <row r="247" spans="24:35" ht="12">
      <c r="X247" s="198"/>
      <c r="Y247" s="198"/>
      <c r="Z247" s="198"/>
      <c r="AA247" s="198"/>
      <c r="AB247" s="198"/>
      <c r="AC247" s="198"/>
      <c r="AD247" s="198"/>
      <c r="AE247" s="198"/>
      <c r="AF247" s="198"/>
      <c r="AG247" s="198"/>
      <c r="AH247" s="198"/>
      <c r="AI247" s="198"/>
    </row>
    <row r="248" spans="24:35" ht="12">
      <c r="X248" s="198"/>
      <c r="Y248" s="198"/>
      <c r="Z248" s="198"/>
      <c r="AA248" s="198"/>
      <c r="AB248" s="198"/>
      <c r="AC248" s="198"/>
      <c r="AD248" s="198"/>
      <c r="AE248" s="198"/>
      <c r="AF248" s="198"/>
      <c r="AG248" s="198"/>
      <c r="AH248" s="198"/>
      <c r="AI248" s="198"/>
    </row>
    <row r="249" spans="24:35" ht="12">
      <c r="X249" s="198"/>
      <c r="Y249" s="198"/>
      <c r="Z249" s="198"/>
      <c r="AA249" s="198"/>
      <c r="AB249" s="198"/>
      <c r="AC249" s="198"/>
      <c r="AD249" s="198"/>
      <c r="AE249" s="198"/>
      <c r="AF249" s="198"/>
      <c r="AG249" s="198"/>
      <c r="AH249" s="198"/>
      <c r="AI249" s="198"/>
    </row>
    <row r="250" spans="24:35" ht="12">
      <c r="X250" s="198"/>
      <c r="Y250" s="198"/>
      <c r="Z250" s="198"/>
      <c r="AA250" s="198"/>
      <c r="AB250" s="198"/>
      <c r="AC250" s="198"/>
      <c r="AD250" s="198"/>
      <c r="AE250" s="198"/>
      <c r="AF250" s="198"/>
      <c r="AG250" s="198"/>
      <c r="AH250" s="198"/>
      <c r="AI250" s="198"/>
    </row>
    <row r="251" spans="24:35" ht="12">
      <c r="X251" s="198"/>
      <c r="Y251" s="198"/>
      <c r="Z251" s="198"/>
      <c r="AA251" s="198"/>
      <c r="AB251" s="198"/>
      <c r="AC251" s="198"/>
      <c r="AD251" s="198"/>
      <c r="AE251" s="198"/>
      <c r="AF251" s="198"/>
      <c r="AG251" s="198"/>
      <c r="AH251" s="198"/>
      <c r="AI251" s="198"/>
    </row>
    <row r="252" spans="24:35" ht="12">
      <c r="X252" s="198"/>
      <c r="Y252" s="198"/>
      <c r="Z252" s="198"/>
      <c r="AA252" s="198"/>
      <c r="AB252" s="198"/>
      <c r="AC252" s="198"/>
      <c r="AD252" s="198"/>
      <c r="AE252" s="198"/>
      <c r="AF252" s="198"/>
      <c r="AG252" s="198"/>
      <c r="AH252" s="198"/>
      <c r="AI252" s="198"/>
    </row>
    <row r="253" spans="24:35" ht="12">
      <c r="X253" s="198"/>
      <c r="Y253" s="198"/>
      <c r="Z253" s="198"/>
      <c r="AA253" s="198"/>
      <c r="AB253" s="198"/>
      <c r="AC253" s="198"/>
      <c r="AD253" s="198"/>
      <c r="AE253" s="198"/>
      <c r="AF253" s="198"/>
      <c r="AG253" s="198"/>
      <c r="AH253" s="198"/>
      <c r="AI253" s="198"/>
    </row>
    <row r="254" spans="24:35" ht="12">
      <c r="X254" s="198"/>
      <c r="Y254" s="198"/>
      <c r="Z254" s="198"/>
      <c r="AA254" s="198"/>
      <c r="AB254" s="198"/>
      <c r="AC254" s="198"/>
      <c r="AD254" s="198"/>
      <c r="AE254" s="198"/>
      <c r="AF254" s="198"/>
      <c r="AG254" s="198"/>
      <c r="AH254" s="198"/>
      <c r="AI254" s="198"/>
    </row>
    <row r="255" spans="24:35" ht="12">
      <c r="X255" s="198"/>
      <c r="Y255" s="198"/>
      <c r="Z255" s="198"/>
      <c r="AA255" s="198"/>
      <c r="AB255" s="198"/>
      <c r="AC255" s="198"/>
      <c r="AD255" s="198"/>
      <c r="AE255" s="198"/>
      <c r="AF255" s="198"/>
      <c r="AG255" s="198"/>
      <c r="AH255" s="198"/>
      <c r="AI255" s="198"/>
    </row>
    <row r="256" spans="24:35" ht="12">
      <c r="X256" s="198"/>
      <c r="Y256" s="198"/>
      <c r="Z256" s="198"/>
      <c r="AA256" s="198"/>
      <c r="AB256" s="198"/>
      <c r="AC256" s="198"/>
      <c r="AD256" s="198"/>
      <c r="AE256" s="198"/>
      <c r="AF256" s="198"/>
      <c r="AG256" s="198"/>
      <c r="AH256" s="198"/>
      <c r="AI256" s="198"/>
    </row>
    <row r="257" spans="24:35" ht="12">
      <c r="X257" s="198"/>
      <c r="Y257" s="198"/>
      <c r="Z257" s="198"/>
      <c r="AA257" s="198"/>
      <c r="AB257" s="198"/>
      <c r="AC257" s="198"/>
      <c r="AD257" s="198"/>
      <c r="AE257" s="198"/>
      <c r="AF257" s="198"/>
      <c r="AG257" s="198"/>
      <c r="AH257" s="198"/>
      <c r="AI257" s="198"/>
    </row>
    <row r="258" spans="24:35" ht="12">
      <c r="X258" s="198"/>
      <c r="Y258" s="198"/>
      <c r="Z258" s="198"/>
      <c r="AA258" s="198"/>
      <c r="AB258" s="198"/>
      <c r="AC258" s="198"/>
      <c r="AD258" s="198"/>
      <c r="AE258" s="198"/>
      <c r="AF258" s="198"/>
      <c r="AG258" s="198"/>
      <c r="AH258" s="198"/>
      <c r="AI258" s="198"/>
    </row>
    <row r="259" spans="24:35" ht="12">
      <c r="X259" s="198"/>
      <c r="Y259" s="198"/>
      <c r="Z259" s="198"/>
      <c r="AA259" s="198"/>
      <c r="AB259" s="198"/>
      <c r="AC259" s="198"/>
      <c r="AD259" s="198"/>
      <c r="AE259" s="198"/>
      <c r="AF259" s="198"/>
      <c r="AG259" s="198"/>
      <c r="AH259" s="198"/>
      <c r="AI259" s="198"/>
    </row>
    <row r="260" spans="24:35" ht="12">
      <c r="X260" s="198"/>
      <c r="Y260" s="198"/>
      <c r="Z260" s="198"/>
      <c r="AA260" s="198"/>
      <c r="AB260" s="198"/>
      <c r="AC260" s="198"/>
      <c r="AD260" s="198"/>
      <c r="AE260" s="198"/>
      <c r="AF260" s="198"/>
      <c r="AG260" s="198"/>
      <c r="AH260" s="198"/>
      <c r="AI260" s="198"/>
    </row>
    <row r="261" spans="24:35" ht="12">
      <c r="X261" s="198"/>
      <c r="Y261" s="198"/>
      <c r="Z261" s="198"/>
      <c r="AA261" s="198"/>
      <c r="AB261" s="198"/>
      <c r="AC261" s="198"/>
      <c r="AD261" s="198"/>
      <c r="AE261" s="198"/>
      <c r="AF261" s="198"/>
      <c r="AG261" s="198"/>
      <c r="AH261" s="198"/>
      <c r="AI261" s="198"/>
    </row>
    <row r="262" spans="24:35" ht="12">
      <c r="X262" s="198"/>
      <c r="Y262" s="198"/>
      <c r="Z262" s="198"/>
      <c r="AA262" s="198"/>
      <c r="AB262" s="198"/>
      <c r="AC262" s="198"/>
      <c r="AD262" s="198"/>
      <c r="AE262" s="198"/>
      <c r="AF262" s="198"/>
      <c r="AG262" s="198"/>
      <c r="AH262" s="198"/>
      <c r="AI262" s="198"/>
    </row>
    <row r="263" spans="24:35" ht="12">
      <c r="X263" s="198"/>
      <c r="Y263" s="198"/>
      <c r="Z263" s="198"/>
      <c r="AA263" s="198"/>
      <c r="AB263" s="198"/>
      <c r="AC263" s="198"/>
      <c r="AD263" s="198"/>
      <c r="AE263" s="198"/>
      <c r="AF263" s="198"/>
      <c r="AG263" s="198"/>
      <c r="AH263" s="198"/>
      <c r="AI263" s="198"/>
    </row>
    <row r="264" spans="24:35" ht="12">
      <c r="X264" s="198"/>
      <c r="Y264" s="198"/>
      <c r="Z264" s="198"/>
      <c r="AA264" s="198"/>
      <c r="AB264" s="198"/>
      <c r="AC264" s="198"/>
      <c r="AD264" s="198"/>
      <c r="AE264" s="198"/>
      <c r="AF264" s="198"/>
      <c r="AG264" s="198"/>
      <c r="AH264" s="198"/>
      <c r="AI264" s="198"/>
    </row>
    <row r="265" spans="24:35" ht="12">
      <c r="X265" s="198"/>
      <c r="Y265" s="198"/>
      <c r="Z265" s="198"/>
      <c r="AA265" s="198"/>
      <c r="AB265" s="198"/>
      <c r="AC265" s="198"/>
      <c r="AD265" s="198"/>
      <c r="AE265" s="198"/>
      <c r="AF265" s="198"/>
      <c r="AG265" s="198"/>
      <c r="AH265" s="198"/>
      <c r="AI265" s="198"/>
    </row>
    <row r="266" spans="24:35" ht="12">
      <c r="X266" s="198"/>
      <c r="Y266" s="198"/>
      <c r="Z266" s="198"/>
      <c r="AA266" s="198"/>
      <c r="AB266" s="198"/>
      <c r="AC266" s="198"/>
      <c r="AD266" s="198"/>
      <c r="AE266" s="198"/>
      <c r="AF266" s="198"/>
      <c r="AG266" s="198"/>
      <c r="AH266" s="198"/>
      <c r="AI266" s="198"/>
    </row>
    <row r="267" spans="24:35" ht="12">
      <c r="X267" s="198"/>
      <c r="Y267" s="198"/>
      <c r="Z267" s="198"/>
      <c r="AA267" s="198"/>
      <c r="AB267" s="198"/>
      <c r="AC267" s="198"/>
      <c r="AD267" s="198"/>
      <c r="AE267" s="198"/>
      <c r="AF267" s="198"/>
      <c r="AG267" s="198"/>
      <c r="AH267" s="198"/>
      <c r="AI267" s="198"/>
    </row>
    <row r="268" spans="24:35" ht="12">
      <c r="X268" s="198"/>
      <c r="Y268" s="198"/>
      <c r="Z268" s="198"/>
      <c r="AA268" s="198"/>
      <c r="AB268" s="198"/>
      <c r="AC268" s="198"/>
      <c r="AD268" s="198"/>
      <c r="AE268" s="198"/>
      <c r="AF268" s="198"/>
      <c r="AG268" s="198"/>
      <c r="AH268" s="198"/>
      <c r="AI268" s="198"/>
    </row>
    <row r="269" spans="24:35" ht="12">
      <c r="X269" s="198"/>
      <c r="Y269" s="198"/>
      <c r="Z269" s="198"/>
      <c r="AA269" s="198"/>
      <c r="AB269" s="198"/>
      <c r="AC269" s="198"/>
      <c r="AD269" s="198"/>
      <c r="AE269" s="198"/>
      <c r="AF269" s="198"/>
      <c r="AG269" s="198"/>
      <c r="AH269" s="198"/>
      <c r="AI269" s="198"/>
    </row>
    <row r="270" spans="24:35" ht="12">
      <c r="X270" s="198"/>
      <c r="Y270" s="198"/>
      <c r="Z270" s="198"/>
      <c r="AA270" s="198"/>
      <c r="AB270" s="198"/>
      <c r="AC270" s="198"/>
      <c r="AD270" s="198"/>
      <c r="AE270" s="198"/>
      <c r="AF270" s="198"/>
      <c r="AG270" s="198"/>
      <c r="AH270" s="198"/>
      <c r="AI270" s="198"/>
    </row>
    <row r="271" spans="24:35" ht="12">
      <c r="X271" s="198"/>
      <c r="Y271" s="198"/>
      <c r="Z271" s="198"/>
      <c r="AA271" s="198"/>
      <c r="AB271" s="198"/>
      <c r="AC271" s="198"/>
      <c r="AD271" s="198"/>
      <c r="AE271" s="198"/>
      <c r="AF271" s="198"/>
      <c r="AG271" s="198"/>
      <c r="AH271" s="198"/>
      <c r="AI271" s="198"/>
    </row>
    <row r="272" spans="24:35" ht="12">
      <c r="X272" s="198"/>
      <c r="Y272" s="198"/>
      <c r="Z272" s="198"/>
      <c r="AA272" s="198"/>
      <c r="AB272" s="198"/>
      <c r="AC272" s="198"/>
      <c r="AD272" s="198"/>
      <c r="AE272" s="198"/>
      <c r="AF272" s="198"/>
      <c r="AG272" s="198"/>
      <c r="AH272" s="198"/>
      <c r="AI272" s="198"/>
    </row>
    <row r="273" spans="24:35" ht="12">
      <c r="X273" s="198"/>
      <c r="Y273" s="198"/>
      <c r="Z273" s="198"/>
      <c r="AA273" s="198"/>
      <c r="AB273" s="198"/>
      <c r="AC273" s="198"/>
      <c r="AD273" s="198"/>
      <c r="AE273" s="198"/>
      <c r="AF273" s="198"/>
      <c r="AG273" s="198"/>
      <c r="AH273" s="198"/>
      <c r="AI273" s="198"/>
    </row>
    <row r="274" spans="24:35" ht="12">
      <c r="X274" s="198"/>
      <c r="Y274" s="198"/>
      <c r="Z274" s="198"/>
      <c r="AA274" s="198"/>
      <c r="AB274" s="198"/>
      <c r="AC274" s="198"/>
      <c r="AD274" s="198"/>
      <c r="AE274" s="198"/>
      <c r="AF274" s="198"/>
      <c r="AG274" s="198"/>
      <c r="AH274" s="198"/>
      <c r="AI274" s="198"/>
    </row>
    <row r="275" spans="24:35" ht="12">
      <c r="X275" s="198"/>
      <c r="Y275" s="198"/>
      <c r="Z275" s="198"/>
      <c r="AA275" s="198"/>
      <c r="AB275" s="198"/>
      <c r="AC275" s="198"/>
      <c r="AD275" s="198"/>
      <c r="AE275" s="198"/>
      <c r="AF275" s="198"/>
      <c r="AG275" s="198"/>
      <c r="AH275" s="198"/>
      <c r="AI275" s="198"/>
    </row>
    <row r="276" spans="24:35" ht="12">
      <c r="X276" s="198"/>
      <c r="Y276" s="198"/>
      <c r="Z276" s="198"/>
      <c r="AA276" s="198"/>
      <c r="AB276" s="198"/>
      <c r="AC276" s="198"/>
      <c r="AD276" s="198"/>
      <c r="AE276" s="198"/>
      <c r="AF276" s="198"/>
      <c r="AG276" s="198"/>
      <c r="AH276" s="198"/>
      <c r="AI276" s="198"/>
    </row>
    <row r="277" spans="24:35" ht="12">
      <c r="X277" s="198"/>
      <c r="Y277" s="198"/>
      <c r="Z277" s="198"/>
      <c r="AA277" s="198"/>
      <c r="AB277" s="198"/>
      <c r="AC277" s="198"/>
      <c r="AD277" s="198"/>
      <c r="AE277" s="198"/>
      <c r="AF277" s="198"/>
      <c r="AG277" s="198"/>
      <c r="AH277" s="198"/>
      <c r="AI277" s="198"/>
    </row>
    <row r="278" spans="24:35" ht="12">
      <c r="X278" s="198"/>
      <c r="Y278" s="198"/>
      <c r="Z278" s="198"/>
      <c r="AA278" s="198"/>
      <c r="AB278" s="198"/>
      <c r="AC278" s="198"/>
      <c r="AD278" s="198"/>
      <c r="AE278" s="198"/>
      <c r="AF278" s="198"/>
      <c r="AG278" s="198"/>
      <c r="AH278" s="198"/>
      <c r="AI278" s="198"/>
    </row>
    <row r="279" spans="24:35" ht="12">
      <c r="X279" s="198"/>
      <c r="Y279" s="198"/>
      <c r="Z279" s="198"/>
      <c r="AA279" s="198"/>
      <c r="AB279" s="198"/>
      <c r="AC279" s="198"/>
      <c r="AD279" s="198"/>
      <c r="AE279" s="198"/>
      <c r="AF279" s="198"/>
      <c r="AG279" s="198"/>
      <c r="AH279" s="198"/>
      <c r="AI279" s="198"/>
    </row>
    <row r="280" spans="24:35" ht="12">
      <c r="X280" s="198"/>
      <c r="Y280" s="198"/>
      <c r="Z280" s="198"/>
      <c r="AA280" s="198"/>
      <c r="AB280" s="198"/>
      <c r="AC280" s="198"/>
      <c r="AD280" s="198"/>
      <c r="AE280" s="198"/>
      <c r="AF280" s="198"/>
      <c r="AG280" s="198"/>
      <c r="AH280" s="198"/>
      <c r="AI280" s="198"/>
    </row>
    <row r="281" spans="24:35" ht="12">
      <c r="X281" s="198"/>
      <c r="Y281" s="198"/>
      <c r="Z281" s="198"/>
      <c r="AA281" s="198"/>
      <c r="AB281" s="198"/>
      <c r="AC281" s="198"/>
      <c r="AD281" s="198"/>
      <c r="AE281" s="198"/>
      <c r="AF281" s="198"/>
      <c r="AG281" s="198"/>
      <c r="AH281" s="198"/>
      <c r="AI281" s="198"/>
    </row>
    <row r="282" spans="24:35" ht="12">
      <c r="X282" s="198"/>
      <c r="Y282" s="198"/>
      <c r="Z282" s="198"/>
      <c r="AA282" s="198"/>
      <c r="AB282" s="198"/>
      <c r="AC282" s="198"/>
      <c r="AD282" s="198"/>
      <c r="AE282" s="198"/>
      <c r="AF282" s="198"/>
      <c r="AG282" s="198"/>
      <c r="AH282" s="198"/>
      <c r="AI282" s="198"/>
    </row>
    <row r="283" spans="24:35" ht="12">
      <c r="X283" s="198"/>
      <c r="Y283" s="198"/>
      <c r="Z283" s="198"/>
      <c r="AA283" s="198"/>
      <c r="AB283" s="198"/>
      <c r="AC283" s="198"/>
      <c r="AD283" s="198"/>
      <c r="AE283" s="198"/>
      <c r="AF283" s="198"/>
      <c r="AG283" s="198"/>
      <c r="AH283" s="198"/>
      <c r="AI283" s="198"/>
    </row>
    <row r="284" spans="24:35" ht="12">
      <c r="X284" s="198"/>
      <c r="Y284" s="198"/>
      <c r="Z284" s="198"/>
      <c r="AA284" s="198"/>
      <c r="AB284" s="198"/>
      <c r="AC284" s="198"/>
      <c r="AD284" s="198"/>
      <c r="AE284" s="198"/>
      <c r="AF284" s="198"/>
      <c r="AG284" s="198"/>
      <c r="AH284" s="198"/>
      <c r="AI284" s="198"/>
    </row>
    <row r="285" spans="24:35" ht="12">
      <c r="X285" s="198"/>
      <c r="Y285" s="198"/>
      <c r="Z285" s="198"/>
      <c r="AA285" s="198"/>
      <c r="AB285" s="198"/>
      <c r="AC285" s="198"/>
      <c r="AD285" s="198"/>
      <c r="AE285" s="198"/>
      <c r="AF285" s="198"/>
      <c r="AG285" s="198"/>
      <c r="AH285" s="198"/>
      <c r="AI285" s="198"/>
    </row>
    <row r="286" spans="24:35" ht="12">
      <c r="X286" s="198"/>
      <c r="Y286" s="198"/>
      <c r="Z286" s="198"/>
      <c r="AA286" s="198"/>
      <c r="AB286" s="198"/>
      <c r="AC286" s="198"/>
      <c r="AD286" s="198"/>
      <c r="AE286" s="198"/>
      <c r="AF286" s="198"/>
      <c r="AG286" s="198"/>
      <c r="AH286" s="198"/>
      <c r="AI286" s="198"/>
    </row>
    <row r="287" spans="24:35" ht="12">
      <c r="X287" s="198"/>
      <c r="Y287" s="198"/>
      <c r="Z287" s="198"/>
      <c r="AA287" s="198"/>
      <c r="AB287" s="198"/>
      <c r="AC287" s="198"/>
      <c r="AD287" s="198"/>
      <c r="AE287" s="198"/>
      <c r="AF287" s="198"/>
      <c r="AG287" s="198"/>
      <c r="AH287" s="198"/>
      <c r="AI287" s="198"/>
    </row>
    <row r="288" spans="24:35" ht="12">
      <c r="X288" s="198"/>
      <c r="Y288" s="198"/>
      <c r="Z288" s="198"/>
      <c r="AA288" s="198"/>
      <c r="AB288" s="198"/>
      <c r="AC288" s="198"/>
      <c r="AD288" s="198"/>
      <c r="AE288" s="198"/>
      <c r="AF288" s="198"/>
      <c r="AG288" s="198"/>
      <c r="AH288" s="198"/>
      <c r="AI288" s="198"/>
    </row>
    <row r="289" spans="24:35" ht="12">
      <c r="X289" s="198"/>
      <c r="Y289" s="198"/>
      <c r="Z289" s="198"/>
      <c r="AA289" s="198"/>
      <c r="AB289" s="198"/>
      <c r="AC289" s="198"/>
      <c r="AD289" s="198"/>
      <c r="AE289" s="198"/>
      <c r="AF289" s="198"/>
      <c r="AG289" s="198"/>
      <c r="AH289" s="198"/>
      <c r="AI289" s="198"/>
    </row>
    <row r="290" spans="24:35" ht="12">
      <c r="X290" s="198"/>
      <c r="Y290" s="198"/>
      <c r="Z290" s="198"/>
      <c r="AA290" s="198"/>
      <c r="AB290" s="198"/>
      <c r="AC290" s="198"/>
      <c r="AD290" s="198"/>
      <c r="AE290" s="198"/>
      <c r="AF290" s="198"/>
      <c r="AG290" s="198"/>
      <c r="AH290" s="198"/>
      <c r="AI290" s="198"/>
    </row>
    <row r="291" spans="24:35" ht="12">
      <c r="X291" s="198"/>
      <c r="Y291" s="198"/>
      <c r="Z291" s="198"/>
      <c r="AA291" s="198"/>
      <c r="AB291" s="198"/>
      <c r="AC291" s="198"/>
      <c r="AD291" s="198"/>
      <c r="AE291" s="198"/>
      <c r="AF291" s="198"/>
      <c r="AG291" s="198"/>
      <c r="AH291" s="198"/>
      <c r="AI291" s="198"/>
    </row>
    <row r="292" spans="24:35" ht="12">
      <c r="X292" s="198"/>
      <c r="Y292" s="198"/>
      <c r="Z292" s="198"/>
      <c r="AA292" s="198"/>
      <c r="AB292" s="198"/>
      <c r="AC292" s="198"/>
      <c r="AD292" s="198"/>
      <c r="AE292" s="198"/>
      <c r="AF292" s="198"/>
      <c r="AG292" s="198"/>
      <c r="AH292" s="198"/>
      <c r="AI292" s="198"/>
    </row>
    <row r="293" spans="24:35" ht="12">
      <c r="X293" s="198"/>
      <c r="Y293" s="198"/>
      <c r="Z293" s="198"/>
      <c r="AA293" s="198"/>
      <c r="AB293" s="198"/>
      <c r="AC293" s="198"/>
      <c r="AD293" s="198"/>
      <c r="AE293" s="198"/>
      <c r="AF293" s="198"/>
      <c r="AG293" s="198"/>
      <c r="AH293" s="198"/>
      <c r="AI293" s="198"/>
    </row>
    <row r="294" spans="24:35" ht="12">
      <c r="X294" s="198"/>
      <c r="Y294" s="198"/>
      <c r="Z294" s="198"/>
      <c r="AA294" s="198"/>
      <c r="AB294" s="198"/>
      <c r="AC294" s="198"/>
      <c r="AD294" s="198"/>
      <c r="AE294" s="198"/>
      <c r="AF294" s="198"/>
      <c r="AG294" s="198"/>
      <c r="AH294" s="198"/>
      <c r="AI294" s="198"/>
    </row>
    <row r="295" spans="24:35" ht="12">
      <c r="X295" s="198"/>
      <c r="Y295" s="198"/>
      <c r="Z295" s="198"/>
      <c r="AA295" s="198"/>
      <c r="AB295" s="198"/>
      <c r="AC295" s="198"/>
      <c r="AD295" s="198"/>
      <c r="AE295" s="198"/>
      <c r="AF295" s="198"/>
      <c r="AG295" s="198"/>
      <c r="AH295" s="198"/>
      <c r="AI295" s="198"/>
    </row>
    <row r="296" spans="24:35" ht="12">
      <c r="X296" s="198"/>
      <c r="Y296" s="198"/>
      <c r="Z296" s="198"/>
      <c r="AA296" s="198"/>
      <c r="AB296" s="198"/>
      <c r="AC296" s="198"/>
      <c r="AD296" s="198"/>
      <c r="AE296" s="198"/>
      <c r="AF296" s="198"/>
      <c r="AG296" s="198"/>
      <c r="AH296" s="198"/>
      <c r="AI296" s="198"/>
    </row>
    <row r="297" spans="24:35" ht="12">
      <c r="X297" s="198"/>
      <c r="Y297" s="198"/>
      <c r="Z297" s="198"/>
      <c r="AA297" s="198"/>
      <c r="AB297" s="198"/>
      <c r="AC297" s="198"/>
      <c r="AD297" s="198"/>
      <c r="AE297" s="198"/>
      <c r="AF297" s="198"/>
      <c r="AG297" s="198"/>
      <c r="AH297" s="198"/>
      <c r="AI297" s="198"/>
    </row>
    <row r="298" spans="24:35" ht="12">
      <c r="X298" s="198"/>
      <c r="Y298" s="198"/>
      <c r="Z298" s="198"/>
      <c r="AA298" s="198"/>
      <c r="AB298" s="198"/>
      <c r="AC298" s="198"/>
      <c r="AD298" s="198"/>
      <c r="AE298" s="198"/>
      <c r="AF298" s="198"/>
      <c r="AG298" s="198"/>
      <c r="AH298" s="198"/>
      <c r="AI298" s="198"/>
    </row>
    <row r="299" spans="24:35" ht="12">
      <c r="X299" s="198"/>
      <c r="Y299" s="198"/>
      <c r="Z299" s="198"/>
      <c r="AA299" s="198"/>
      <c r="AB299" s="198"/>
      <c r="AC299" s="198"/>
      <c r="AD299" s="198"/>
      <c r="AE299" s="198"/>
      <c r="AF299" s="198"/>
      <c r="AG299" s="198"/>
      <c r="AH299" s="198"/>
      <c r="AI299" s="198"/>
    </row>
    <row r="300" spans="24:35" ht="12">
      <c r="X300" s="198"/>
      <c r="Y300" s="198"/>
      <c r="Z300" s="198"/>
      <c r="AA300" s="198"/>
      <c r="AB300" s="198"/>
      <c r="AC300" s="198"/>
      <c r="AD300" s="198"/>
      <c r="AE300" s="198"/>
      <c r="AF300" s="198"/>
      <c r="AG300" s="198"/>
      <c r="AH300" s="198"/>
      <c r="AI300" s="198"/>
    </row>
    <row r="301" spans="24:35" ht="12">
      <c r="X301" s="198"/>
      <c r="Y301" s="198"/>
      <c r="Z301" s="198"/>
      <c r="AA301" s="198"/>
      <c r="AB301" s="198"/>
      <c r="AC301" s="198"/>
      <c r="AD301" s="198"/>
      <c r="AE301" s="198"/>
      <c r="AF301" s="198"/>
      <c r="AG301" s="198"/>
      <c r="AH301" s="198"/>
      <c r="AI301" s="198"/>
    </row>
    <row r="302" spans="24:35" ht="12">
      <c r="X302" s="198"/>
      <c r="Y302" s="198"/>
      <c r="Z302" s="198"/>
      <c r="AA302" s="198"/>
      <c r="AB302" s="198"/>
      <c r="AC302" s="198"/>
      <c r="AD302" s="198"/>
      <c r="AE302" s="198"/>
      <c r="AF302" s="198"/>
      <c r="AG302" s="198"/>
      <c r="AH302" s="198"/>
      <c r="AI302" s="198"/>
    </row>
    <row r="303" spans="24:35" ht="12">
      <c r="X303" s="198"/>
      <c r="Y303" s="198"/>
      <c r="Z303" s="198"/>
      <c r="AA303" s="198"/>
      <c r="AB303" s="198"/>
      <c r="AC303" s="198"/>
      <c r="AD303" s="198"/>
      <c r="AE303" s="198"/>
      <c r="AF303" s="198"/>
      <c r="AG303" s="198"/>
      <c r="AH303" s="198"/>
      <c r="AI303" s="198"/>
    </row>
    <row r="304" spans="24:35" ht="12">
      <c r="X304" s="198"/>
      <c r="Y304" s="198"/>
      <c r="Z304" s="198"/>
      <c r="AA304" s="198"/>
      <c r="AB304" s="198"/>
      <c r="AC304" s="198"/>
      <c r="AD304" s="198"/>
      <c r="AE304" s="198"/>
      <c r="AF304" s="198"/>
      <c r="AG304" s="198"/>
      <c r="AH304" s="198"/>
      <c r="AI304" s="198"/>
    </row>
    <row r="305" spans="24:35" ht="12">
      <c r="X305" s="198"/>
      <c r="Y305" s="198"/>
      <c r="Z305" s="198"/>
      <c r="AA305" s="198"/>
      <c r="AB305" s="198"/>
      <c r="AC305" s="198"/>
      <c r="AD305" s="198"/>
      <c r="AE305" s="198"/>
      <c r="AF305" s="198"/>
      <c r="AG305" s="198"/>
      <c r="AH305" s="198"/>
      <c r="AI305" s="198"/>
    </row>
    <row r="306" spans="24:35" ht="12">
      <c r="X306" s="198"/>
      <c r="Y306" s="198"/>
      <c r="Z306" s="198"/>
      <c r="AA306" s="198"/>
      <c r="AB306" s="198"/>
      <c r="AC306" s="198"/>
      <c r="AD306" s="198"/>
      <c r="AE306" s="198"/>
      <c r="AF306" s="198"/>
      <c r="AG306" s="198"/>
      <c r="AH306" s="198"/>
      <c r="AI306" s="198"/>
    </row>
    <row r="307" spans="24:35" ht="12">
      <c r="X307" s="198"/>
      <c r="Y307" s="198"/>
      <c r="Z307" s="198"/>
      <c r="AA307" s="198"/>
      <c r="AB307" s="198"/>
      <c r="AC307" s="198"/>
      <c r="AD307" s="198"/>
      <c r="AE307" s="198"/>
      <c r="AF307" s="198"/>
      <c r="AG307" s="198"/>
      <c r="AH307" s="198"/>
      <c r="AI307" s="198"/>
    </row>
    <row r="308" spans="24:35" ht="12">
      <c r="X308" s="198"/>
      <c r="Y308" s="198"/>
      <c r="Z308" s="198"/>
      <c r="AA308" s="198"/>
      <c r="AB308" s="198"/>
      <c r="AC308" s="198"/>
      <c r="AD308" s="198"/>
      <c r="AE308" s="198"/>
      <c r="AF308" s="198"/>
      <c r="AG308" s="198"/>
      <c r="AH308" s="198"/>
      <c r="AI308" s="198"/>
    </row>
    <row r="309" spans="24:35" ht="12">
      <c r="X309" s="198"/>
      <c r="Y309" s="198"/>
      <c r="Z309" s="198"/>
      <c r="AA309" s="198"/>
      <c r="AB309" s="198"/>
      <c r="AC309" s="198"/>
      <c r="AD309" s="198"/>
      <c r="AE309" s="198"/>
      <c r="AF309" s="198"/>
      <c r="AG309" s="198"/>
      <c r="AH309" s="198"/>
      <c r="AI309" s="198"/>
    </row>
    <row r="310" spans="24:35" ht="12">
      <c r="X310" s="198"/>
      <c r="Y310" s="198"/>
      <c r="Z310" s="198"/>
      <c r="AA310" s="198"/>
      <c r="AB310" s="198"/>
      <c r="AC310" s="198"/>
      <c r="AD310" s="198"/>
      <c r="AE310" s="198"/>
      <c r="AF310" s="198"/>
      <c r="AG310" s="198"/>
      <c r="AH310" s="198"/>
      <c r="AI310" s="198"/>
    </row>
    <row r="311" spans="24:35" ht="12">
      <c r="X311" s="198"/>
      <c r="Y311" s="198"/>
      <c r="Z311" s="198"/>
      <c r="AA311" s="198"/>
      <c r="AB311" s="198"/>
      <c r="AC311" s="198"/>
      <c r="AD311" s="198"/>
      <c r="AE311" s="198"/>
      <c r="AF311" s="198"/>
      <c r="AG311" s="198"/>
      <c r="AH311" s="198"/>
      <c r="AI311" s="198"/>
    </row>
    <row r="312" spans="24:35" ht="12">
      <c r="X312" s="198"/>
      <c r="Y312" s="198"/>
      <c r="Z312" s="198"/>
      <c r="AA312" s="198"/>
      <c r="AB312" s="198"/>
      <c r="AC312" s="198"/>
      <c r="AD312" s="198"/>
      <c r="AE312" s="198"/>
      <c r="AF312" s="198"/>
      <c r="AG312" s="198"/>
      <c r="AH312" s="198"/>
      <c r="AI312" s="198"/>
    </row>
    <row r="313" spans="24:35" ht="12">
      <c r="X313" s="198"/>
      <c r="Y313" s="198"/>
      <c r="Z313" s="198"/>
      <c r="AA313" s="198"/>
      <c r="AB313" s="198"/>
      <c r="AC313" s="198"/>
      <c r="AD313" s="198"/>
      <c r="AE313" s="198"/>
      <c r="AF313" s="198"/>
      <c r="AG313" s="198"/>
      <c r="AH313" s="198"/>
      <c r="AI313" s="198"/>
    </row>
    <row r="314" spans="24:35" ht="12">
      <c r="X314" s="198"/>
      <c r="Y314" s="198"/>
      <c r="Z314" s="198"/>
      <c r="AA314" s="198"/>
      <c r="AB314" s="198"/>
      <c r="AC314" s="198"/>
      <c r="AD314" s="198"/>
      <c r="AE314" s="198"/>
      <c r="AF314" s="198"/>
      <c r="AG314" s="198"/>
      <c r="AH314" s="198"/>
      <c r="AI314" s="198"/>
    </row>
    <row r="315" spans="24:35" ht="12">
      <c r="X315" s="198"/>
      <c r="Y315" s="198"/>
      <c r="Z315" s="198"/>
      <c r="AA315" s="198"/>
      <c r="AB315" s="198"/>
      <c r="AC315" s="198"/>
      <c r="AD315" s="198"/>
      <c r="AE315" s="198"/>
      <c r="AF315" s="198"/>
      <c r="AG315" s="198"/>
      <c r="AH315" s="198"/>
      <c r="AI315" s="198"/>
    </row>
    <row r="316" spans="24:35" ht="12">
      <c r="X316" s="198"/>
      <c r="Y316" s="198"/>
      <c r="Z316" s="198"/>
      <c r="AA316" s="198"/>
      <c r="AB316" s="198"/>
      <c r="AC316" s="198"/>
      <c r="AD316" s="198"/>
      <c r="AE316" s="198"/>
      <c r="AF316" s="198"/>
      <c r="AG316" s="198"/>
      <c r="AH316" s="198"/>
      <c r="AI316" s="198"/>
    </row>
    <row r="317" spans="24:35" ht="12">
      <c r="X317" s="198"/>
      <c r="Y317" s="198"/>
      <c r="Z317" s="198"/>
      <c r="AA317" s="198"/>
      <c r="AB317" s="198"/>
      <c r="AC317" s="198"/>
      <c r="AD317" s="198"/>
      <c r="AE317" s="198"/>
      <c r="AF317" s="198"/>
      <c r="AG317" s="198"/>
      <c r="AH317" s="198"/>
      <c r="AI317" s="198"/>
    </row>
    <row r="318" spans="24:35" ht="12">
      <c r="X318" s="198"/>
      <c r="Y318" s="198"/>
      <c r="Z318" s="198"/>
      <c r="AA318" s="198"/>
      <c r="AB318" s="198"/>
      <c r="AC318" s="198"/>
      <c r="AD318" s="198"/>
      <c r="AE318" s="198"/>
      <c r="AF318" s="198"/>
      <c r="AG318" s="198"/>
      <c r="AH318" s="198"/>
      <c r="AI318" s="198"/>
    </row>
    <row r="319" spans="24:35" ht="12">
      <c r="X319" s="198"/>
      <c r="Y319" s="198"/>
      <c r="Z319" s="198"/>
      <c r="AA319" s="198"/>
      <c r="AB319" s="198"/>
      <c r="AC319" s="198"/>
      <c r="AD319" s="198"/>
      <c r="AE319" s="198"/>
      <c r="AF319" s="198"/>
      <c r="AG319" s="198"/>
      <c r="AH319" s="198"/>
      <c r="AI319" s="198"/>
    </row>
    <row r="320" spans="24:35" ht="12">
      <c r="X320" s="198"/>
      <c r="Y320" s="198"/>
      <c r="Z320" s="198"/>
      <c r="AA320" s="198"/>
      <c r="AB320" s="198"/>
      <c r="AC320" s="198"/>
      <c r="AD320" s="198"/>
      <c r="AE320" s="198"/>
      <c r="AF320" s="198"/>
      <c r="AG320" s="198"/>
      <c r="AH320" s="198"/>
      <c r="AI320" s="198"/>
    </row>
    <row r="321" spans="24:35" ht="12">
      <c r="X321" s="198"/>
      <c r="Y321" s="198"/>
      <c r="Z321" s="198"/>
      <c r="AA321" s="198"/>
      <c r="AB321" s="198"/>
      <c r="AC321" s="198"/>
      <c r="AD321" s="198"/>
      <c r="AE321" s="198"/>
      <c r="AF321" s="198"/>
      <c r="AG321" s="198"/>
      <c r="AH321" s="198"/>
      <c r="AI321" s="198"/>
    </row>
    <row r="322" spans="24:35" ht="12">
      <c r="X322" s="198"/>
      <c r="Y322" s="198"/>
      <c r="Z322" s="198"/>
      <c r="AA322" s="198"/>
      <c r="AB322" s="198"/>
      <c r="AC322" s="198"/>
      <c r="AD322" s="198"/>
      <c r="AE322" s="198"/>
      <c r="AF322" s="198"/>
      <c r="AG322" s="198"/>
      <c r="AH322" s="198"/>
      <c r="AI322" s="198"/>
    </row>
    <row r="323" spans="24:35" ht="12">
      <c r="X323" s="198"/>
      <c r="Y323" s="198"/>
      <c r="Z323" s="198"/>
      <c r="AA323" s="198"/>
      <c r="AB323" s="198"/>
      <c r="AC323" s="198"/>
      <c r="AD323" s="198"/>
      <c r="AE323" s="198"/>
      <c r="AF323" s="198"/>
      <c r="AG323" s="198"/>
      <c r="AH323" s="198"/>
      <c r="AI323" s="198"/>
    </row>
    <row r="324" spans="24:35" ht="12">
      <c r="X324" s="198"/>
      <c r="Y324" s="198"/>
      <c r="Z324" s="198"/>
      <c r="AA324" s="198"/>
      <c r="AB324" s="198"/>
      <c r="AC324" s="198"/>
      <c r="AD324" s="198"/>
      <c r="AE324" s="198"/>
      <c r="AF324" s="198"/>
      <c r="AG324" s="198"/>
      <c r="AH324" s="198"/>
      <c r="AI324" s="198"/>
    </row>
    <row r="325" spans="24:35" ht="12">
      <c r="X325" s="198"/>
      <c r="Y325" s="198"/>
      <c r="Z325" s="198"/>
      <c r="AA325" s="198"/>
      <c r="AB325" s="198"/>
      <c r="AC325" s="198"/>
      <c r="AD325" s="198"/>
      <c r="AE325" s="198"/>
      <c r="AF325" s="198"/>
      <c r="AG325" s="198"/>
      <c r="AH325" s="198"/>
      <c r="AI325" s="198"/>
    </row>
    <row r="326" spans="24:35" ht="12">
      <c r="X326" s="198"/>
      <c r="Y326" s="198"/>
      <c r="Z326" s="198"/>
      <c r="AA326" s="198"/>
      <c r="AB326" s="198"/>
      <c r="AC326" s="198"/>
      <c r="AD326" s="198"/>
      <c r="AE326" s="198"/>
      <c r="AF326" s="198"/>
      <c r="AG326" s="198"/>
      <c r="AH326" s="198"/>
      <c r="AI326" s="198"/>
    </row>
    <row r="327" spans="24:35" ht="12">
      <c r="X327" s="198"/>
      <c r="Y327" s="198"/>
      <c r="Z327" s="198"/>
      <c r="AA327" s="198"/>
      <c r="AB327" s="198"/>
      <c r="AC327" s="198"/>
      <c r="AD327" s="198"/>
      <c r="AE327" s="198"/>
      <c r="AF327" s="198"/>
      <c r="AG327" s="198"/>
      <c r="AH327" s="198"/>
      <c r="AI327" s="198"/>
    </row>
    <row r="328" spans="24:35" ht="12">
      <c r="X328" s="198"/>
      <c r="Y328" s="198"/>
      <c r="Z328" s="198"/>
      <c r="AA328" s="198"/>
      <c r="AB328" s="198"/>
      <c r="AC328" s="198"/>
      <c r="AD328" s="198"/>
      <c r="AE328" s="198"/>
      <c r="AF328" s="198"/>
      <c r="AG328" s="198"/>
      <c r="AH328" s="198"/>
      <c r="AI328" s="198"/>
    </row>
    <row r="329" spans="24:35" ht="12">
      <c r="X329" s="198"/>
      <c r="Y329" s="198"/>
      <c r="Z329" s="198"/>
      <c r="AA329" s="198"/>
      <c r="AB329" s="198"/>
      <c r="AC329" s="198"/>
      <c r="AD329" s="198"/>
      <c r="AE329" s="198"/>
      <c r="AF329" s="198"/>
      <c r="AG329" s="198"/>
      <c r="AH329" s="198"/>
      <c r="AI329" s="198"/>
    </row>
    <row r="330" spans="24:35" ht="12">
      <c r="X330" s="198"/>
      <c r="Y330" s="198"/>
      <c r="Z330" s="198"/>
      <c r="AA330" s="198"/>
      <c r="AB330" s="198"/>
      <c r="AC330" s="198"/>
      <c r="AD330" s="198"/>
      <c r="AE330" s="198"/>
      <c r="AF330" s="198"/>
      <c r="AG330" s="198"/>
      <c r="AH330" s="198"/>
      <c r="AI330" s="198"/>
    </row>
    <row r="331" spans="24:35" ht="12">
      <c r="X331" s="198"/>
      <c r="Y331" s="198"/>
      <c r="Z331" s="198"/>
      <c r="AA331" s="198"/>
      <c r="AB331" s="198"/>
      <c r="AC331" s="198"/>
      <c r="AD331" s="198"/>
      <c r="AE331" s="198"/>
      <c r="AF331" s="198"/>
      <c r="AG331" s="198"/>
      <c r="AH331" s="198"/>
      <c r="AI331" s="198"/>
    </row>
    <row r="332" spans="24:35" ht="12">
      <c r="X332" s="198"/>
      <c r="Y332" s="198"/>
      <c r="Z332" s="198"/>
      <c r="AA332" s="198"/>
      <c r="AB332" s="198"/>
      <c r="AC332" s="198"/>
      <c r="AD332" s="198"/>
      <c r="AE332" s="198"/>
      <c r="AF332" s="198"/>
      <c r="AG332" s="198"/>
      <c r="AH332" s="198"/>
      <c r="AI332" s="198"/>
    </row>
    <row r="333" spans="24:35" ht="12">
      <c r="X333" s="198"/>
      <c r="Y333" s="198"/>
      <c r="Z333" s="198"/>
      <c r="AA333" s="198"/>
      <c r="AB333" s="198"/>
      <c r="AC333" s="198"/>
      <c r="AD333" s="198"/>
      <c r="AE333" s="198"/>
      <c r="AF333" s="198"/>
      <c r="AG333" s="198"/>
      <c r="AH333" s="198"/>
      <c r="AI333" s="198"/>
    </row>
    <row r="334" spans="24:35" ht="12">
      <c r="X334" s="198"/>
      <c r="Y334" s="198"/>
      <c r="Z334" s="198"/>
      <c r="AA334" s="198"/>
      <c r="AB334" s="198"/>
      <c r="AC334" s="198"/>
      <c r="AD334" s="198"/>
      <c r="AE334" s="198"/>
      <c r="AF334" s="198"/>
      <c r="AG334" s="198"/>
      <c r="AH334" s="198"/>
      <c r="AI334" s="198"/>
    </row>
    <row r="335" spans="24:35" ht="12">
      <c r="X335" s="198"/>
      <c r="Y335" s="198"/>
      <c r="Z335" s="198"/>
      <c r="AA335" s="198"/>
      <c r="AB335" s="198"/>
      <c r="AC335" s="198"/>
      <c r="AD335" s="198"/>
      <c r="AE335" s="198"/>
      <c r="AF335" s="198"/>
      <c r="AG335" s="198"/>
      <c r="AH335" s="198"/>
      <c r="AI335" s="198"/>
    </row>
    <row r="336" spans="24:35" ht="12">
      <c r="X336" s="198"/>
      <c r="Y336" s="198"/>
      <c r="Z336" s="198"/>
      <c r="AA336" s="198"/>
      <c r="AB336" s="198"/>
      <c r="AC336" s="198"/>
      <c r="AD336" s="198"/>
      <c r="AE336" s="198"/>
      <c r="AF336" s="198"/>
      <c r="AG336" s="198"/>
      <c r="AH336" s="198"/>
      <c r="AI336" s="198"/>
    </row>
    <row r="337" spans="24:35" ht="12">
      <c r="X337" s="198"/>
      <c r="Y337" s="198"/>
      <c r="Z337" s="198"/>
      <c r="AA337" s="198"/>
      <c r="AB337" s="198"/>
      <c r="AC337" s="198"/>
      <c r="AD337" s="198"/>
      <c r="AE337" s="198"/>
      <c r="AF337" s="198"/>
      <c r="AG337" s="198"/>
      <c r="AH337" s="198"/>
      <c r="AI337" s="198"/>
    </row>
    <row r="338" spans="24:35" ht="12">
      <c r="X338" s="198"/>
      <c r="Y338" s="198"/>
      <c r="Z338" s="198"/>
      <c r="AA338" s="198"/>
      <c r="AB338" s="198"/>
      <c r="AC338" s="198"/>
      <c r="AD338" s="198"/>
      <c r="AE338" s="198"/>
      <c r="AF338" s="198"/>
      <c r="AG338" s="198"/>
      <c r="AH338" s="198"/>
      <c r="AI338" s="198"/>
    </row>
    <row r="339" spans="24:35" ht="12">
      <c r="X339" s="198"/>
      <c r="Y339" s="198"/>
      <c r="Z339" s="198"/>
      <c r="AA339" s="198"/>
      <c r="AB339" s="198"/>
      <c r="AC339" s="198"/>
      <c r="AD339" s="198"/>
      <c r="AE339" s="198"/>
      <c r="AF339" s="198"/>
      <c r="AG339" s="198"/>
      <c r="AH339" s="198"/>
      <c r="AI339" s="198"/>
    </row>
    <row r="340" spans="24:35" ht="12">
      <c r="X340" s="198"/>
      <c r="Y340" s="198"/>
      <c r="Z340" s="198"/>
      <c r="AA340" s="198"/>
      <c r="AB340" s="198"/>
      <c r="AC340" s="198"/>
      <c r="AD340" s="198"/>
      <c r="AE340" s="198"/>
      <c r="AF340" s="198"/>
      <c r="AG340" s="198"/>
      <c r="AH340" s="198"/>
      <c r="AI340" s="198"/>
    </row>
    <row r="341" spans="24:35" ht="12">
      <c r="X341" s="198"/>
      <c r="Y341" s="198"/>
      <c r="Z341" s="198"/>
      <c r="AA341" s="198"/>
      <c r="AB341" s="198"/>
      <c r="AC341" s="198"/>
      <c r="AD341" s="198"/>
      <c r="AE341" s="198"/>
      <c r="AF341" s="198"/>
      <c r="AG341" s="198"/>
      <c r="AH341" s="198"/>
      <c r="AI341" s="198"/>
    </row>
    <row r="342" spans="24:35" ht="12">
      <c r="X342" s="198"/>
      <c r="Y342" s="198"/>
      <c r="Z342" s="198"/>
      <c r="AA342" s="198"/>
      <c r="AB342" s="198"/>
      <c r="AC342" s="198"/>
      <c r="AD342" s="198"/>
      <c r="AE342" s="198"/>
      <c r="AF342" s="198"/>
      <c r="AG342" s="198"/>
      <c r="AH342" s="198"/>
      <c r="AI342" s="198"/>
    </row>
    <row r="343" spans="24:35" ht="12">
      <c r="X343" s="198"/>
      <c r="Y343" s="198"/>
      <c r="Z343" s="198"/>
      <c r="AA343" s="198"/>
      <c r="AB343" s="198"/>
      <c r="AC343" s="198"/>
      <c r="AD343" s="198"/>
      <c r="AE343" s="198"/>
      <c r="AF343" s="198"/>
      <c r="AG343" s="198"/>
      <c r="AH343" s="198"/>
      <c r="AI343" s="198"/>
    </row>
    <row r="344" spans="24:35" ht="12">
      <c r="X344" s="198"/>
      <c r="Y344" s="198"/>
      <c r="Z344" s="198"/>
      <c r="AA344" s="198"/>
      <c r="AB344" s="198"/>
      <c r="AC344" s="198"/>
      <c r="AD344" s="198"/>
      <c r="AE344" s="198"/>
      <c r="AF344" s="198"/>
      <c r="AG344" s="198"/>
      <c r="AH344" s="198"/>
      <c r="AI344" s="198"/>
    </row>
    <row r="345" spans="24:35" ht="12">
      <c r="X345" s="198"/>
      <c r="Y345" s="198"/>
      <c r="Z345" s="198"/>
      <c r="AA345" s="198"/>
      <c r="AB345" s="198"/>
      <c r="AC345" s="198"/>
      <c r="AD345" s="198"/>
      <c r="AE345" s="198"/>
      <c r="AF345" s="198"/>
      <c r="AG345" s="198"/>
      <c r="AH345" s="198"/>
      <c r="AI345" s="198"/>
    </row>
    <row r="346" spans="24:35" ht="12">
      <c r="X346" s="198"/>
      <c r="Y346" s="198"/>
      <c r="Z346" s="198"/>
      <c r="AA346" s="198"/>
      <c r="AB346" s="198"/>
      <c r="AC346" s="198"/>
      <c r="AD346" s="198"/>
      <c r="AE346" s="198"/>
      <c r="AF346" s="198"/>
      <c r="AG346" s="198"/>
      <c r="AH346" s="198"/>
      <c r="AI346" s="198"/>
    </row>
    <row r="347" spans="24:35" ht="12">
      <c r="X347" s="198"/>
      <c r="Y347" s="198"/>
      <c r="Z347" s="198"/>
      <c r="AA347" s="198"/>
      <c r="AB347" s="198"/>
      <c r="AC347" s="198"/>
      <c r="AD347" s="198"/>
      <c r="AE347" s="198"/>
      <c r="AF347" s="198"/>
      <c r="AG347" s="198"/>
      <c r="AH347" s="198"/>
      <c r="AI347" s="198"/>
    </row>
    <row r="348" spans="24:35" ht="12">
      <c r="X348" s="198"/>
      <c r="Y348" s="198"/>
      <c r="Z348" s="198"/>
      <c r="AA348" s="198"/>
      <c r="AB348" s="198"/>
      <c r="AC348" s="198"/>
      <c r="AD348" s="198"/>
      <c r="AE348" s="198"/>
      <c r="AF348" s="198"/>
      <c r="AG348" s="198"/>
      <c r="AH348" s="198"/>
      <c r="AI348" s="198"/>
    </row>
    <row r="349" spans="24:35" ht="12">
      <c r="X349" s="198"/>
      <c r="Y349" s="198"/>
      <c r="Z349" s="198"/>
      <c r="AA349" s="198"/>
      <c r="AB349" s="198"/>
      <c r="AC349" s="198"/>
      <c r="AD349" s="198"/>
      <c r="AE349" s="198"/>
      <c r="AF349" s="198"/>
      <c r="AG349" s="198"/>
      <c r="AH349" s="198"/>
      <c r="AI349" s="198"/>
    </row>
    <row r="350" spans="24:35" ht="12">
      <c r="X350" s="198"/>
      <c r="Y350" s="198"/>
      <c r="Z350" s="198"/>
      <c r="AA350" s="198"/>
      <c r="AB350" s="198"/>
      <c r="AC350" s="198"/>
      <c r="AD350" s="198"/>
      <c r="AE350" s="198"/>
      <c r="AF350" s="198"/>
      <c r="AG350" s="198"/>
      <c r="AH350" s="198"/>
      <c r="AI350" s="198"/>
    </row>
    <row r="351" spans="24:35" ht="12">
      <c r="X351" s="198"/>
      <c r="Y351" s="198"/>
      <c r="Z351" s="198"/>
      <c r="AA351" s="198"/>
      <c r="AB351" s="198"/>
      <c r="AC351" s="198"/>
      <c r="AD351" s="198"/>
      <c r="AE351" s="198"/>
      <c r="AF351" s="198"/>
      <c r="AG351" s="198"/>
      <c r="AH351" s="198"/>
      <c r="AI351" s="198"/>
    </row>
    <row r="352" spans="24:35" ht="12">
      <c r="X352" s="198"/>
      <c r="Y352" s="198"/>
      <c r="Z352" s="198"/>
      <c r="AA352" s="198"/>
      <c r="AB352" s="198"/>
      <c r="AC352" s="198"/>
      <c r="AD352" s="198"/>
      <c r="AE352" s="198"/>
      <c r="AF352" s="198"/>
      <c r="AG352" s="198"/>
      <c r="AH352" s="198"/>
      <c r="AI352" s="198"/>
    </row>
    <row r="353" spans="24:35" ht="12">
      <c r="X353" s="198"/>
      <c r="Y353" s="198"/>
      <c r="Z353" s="198"/>
      <c r="AA353" s="198"/>
      <c r="AB353" s="198"/>
      <c r="AC353" s="198"/>
      <c r="AD353" s="198"/>
      <c r="AE353" s="198"/>
      <c r="AF353" s="198"/>
      <c r="AG353" s="198"/>
      <c r="AH353" s="198"/>
      <c r="AI353" s="198"/>
    </row>
    <row r="354" spans="24:35" ht="12">
      <c r="X354" s="198"/>
      <c r="Y354" s="198"/>
      <c r="Z354" s="198"/>
      <c r="AA354" s="198"/>
      <c r="AB354" s="198"/>
      <c r="AC354" s="198"/>
      <c r="AD354" s="198"/>
      <c r="AE354" s="198"/>
      <c r="AF354" s="198"/>
      <c r="AG354" s="198"/>
      <c r="AH354" s="198"/>
      <c r="AI354" s="198"/>
    </row>
    <row r="355" spans="24:35" ht="12">
      <c r="X355" s="198"/>
      <c r="Y355" s="198"/>
      <c r="Z355" s="198"/>
      <c r="AA355" s="198"/>
      <c r="AB355" s="198"/>
      <c r="AC355" s="198"/>
      <c r="AD355" s="198"/>
      <c r="AE355" s="198"/>
      <c r="AF355" s="198"/>
      <c r="AG355" s="198"/>
      <c r="AH355" s="198"/>
      <c r="AI355" s="198"/>
    </row>
    <row r="356" spans="24:35" ht="12">
      <c r="X356" s="198"/>
      <c r="Y356" s="198"/>
      <c r="Z356" s="198"/>
      <c r="AA356" s="198"/>
      <c r="AB356" s="198"/>
      <c r="AC356" s="198"/>
      <c r="AD356" s="198"/>
      <c r="AE356" s="198"/>
      <c r="AF356" s="198"/>
      <c r="AG356" s="198"/>
      <c r="AH356" s="198"/>
      <c r="AI356" s="198"/>
    </row>
    <row r="357" spans="24:35" ht="12">
      <c r="X357" s="198"/>
      <c r="Y357" s="198"/>
      <c r="Z357" s="198"/>
      <c r="AA357" s="198"/>
      <c r="AB357" s="198"/>
      <c r="AC357" s="198"/>
      <c r="AD357" s="198"/>
      <c r="AE357" s="198"/>
      <c r="AF357" s="198"/>
      <c r="AG357" s="198"/>
      <c r="AH357" s="198"/>
      <c r="AI357" s="198"/>
    </row>
    <row r="358" spans="24:35" ht="12">
      <c r="X358" s="198"/>
      <c r="Y358" s="198"/>
      <c r="Z358" s="198"/>
      <c r="AA358" s="198"/>
      <c r="AB358" s="198"/>
      <c r="AC358" s="198"/>
      <c r="AD358" s="198"/>
      <c r="AE358" s="198"/>
      <c r="AF358" s="198"/>
      <c r="AG358" s="198"/>
      <c r="AH358" s="198"/>
      <c r="AI358" s="198"/>
    </row>
    <row r="359" spans="24:35" ht="12">
      <c r="X359" s="198"/>
      <c r="Y359" s="198"/>
      <c r="Z359" s="198"/>
      <c r="AA359" s="198"/>
      <c r="AB359" s="198"/>
      <c r="AC359" s="198"/>
      <c r="AD359" s="198"/>
      <c r="AE359" s="198"/>
      <c r="AF359" s="198"/>
      <c r="AG359" s="198"/>
      <c r="AH359" s="198"/>
      <c r="AI359" s="198"/>
    </row>
    <row r="360" spans="24:35" ht="12">
      <c r="X360" s="198"/>
      <c r="Y360" s="198"/>
      <c r="Z360" s="198"/>
      <c r="AA360" s="198"/>
      <c r="AB360" s="198"/>
      <c r="AC360" s="198"/>
      <c r="AD360" s="198"/>
      <c r="AE360" s="198"/>
      <c r="AF360" s="198"/>
      <c r="AG360" s="198"/>
      <c r="AH360" s="198"/>
      <c r="AI360" s="198"/>
    </row>
    <row r="361" spans="24:35" ht="12">
      <c r="X361" s="198"/>
      <c r="Y361" s="198"/>
      <c r="Z361" s="198"/>
      <c r="AA361" s="198"/>
      <c r="AB361" s="198"/>
      <c r="AC361" s="198"/>
      <c r="AD361" s="198"/>
      <c r="AE361" s="198"/>
      <c r="AF361" s="198"/>
      <c r="AG361" s="198"/>
      <c r="AH361" s="198"/>
      <c r="AI361" s="198"/>
    </row>
    <row r="362" spans="24:35" ht="12">
      <c r="X362" s="198"/>
      <c r="Y362" s="198"/>
      <c r="Z362" s="198"/>
      <c r="AA362" s="198"/>
      <c r="AB362" s="198"/>
      <c r="AC362" s="198"/>
      <c r="AD362" s="198"/>
      <c r="AE362" s="198"/>
      <c r="AF362" s="198"/>
      <c r="AG362" s="198"/>
      <c r="AH362" s="198"/>
      <c r="AI362" s="198"/>
    </row>
    <row r="363" spans="24:35" ht="12">
      <c r="X363" s="198"/>
      <c r="Y363" s="198"/>
      <c r="Z363" s="198"/>
      <c r="AA363" s="198"/>
      <c r="AB363" s="198"/>
      <c r="AC363" s="198"/>
      <c r="AD363" s="198"/>
      <c r="AE363" s="198"/>
      <c r="AF363" s="198"/>
      <c r="AG363" s="198"/>
      <c r="AH363" s="198"/>
      <c r="AI363" s="198"/>
    </row>
    <row r="364" spans="24:35" ht="12">
      <c r="X364" s="198"/>
      <c r="Y364" s="198"/>
      <c r="Z364" s="198"/>
      <c r="AA364" s="198"/>
      <c r="AB364" s="198"/>
      <c r="AC364" s="198"/>
      <c r="AD364" s="198"/>
      <c r="AE364" s="198"/>
      <c r="AF364" s="198"/>
      <c r="AG364" s="198"/>
      <c r="AH364" s="198"/>
      <c r="AI364" s="198"/>
    </row>
    <row r="365" spans="24:35" ht="12">
      <c r="X365" s="198"/>
      <c r="Y365" s="198"/>
      <c r="Z365" s="198"/>
      <c r="AA365" s="198"/>
      <c r="AB365" s="198"/>
      <c r="AC365" s="198"/>
      <c r="AD365" s="198"/>
      <c r="AE365" s="198"/>
      <c r="AF365" s="198"/>
      <c r="AG365" s="198"/>
      <c r="AH365" s="198"/>
      <c r="AI365" s="198"/>
    </row>
    <row r="366" spans="24:35" ht="12">
      <c r="X366" s="198"/>
      <c r="Y366" s="198"/>
      <c r="Z366" s="198"/>
      <c r="AA366" s="198"/>
      <c r="AB366" s="198"/>
      <c r="AC366" s="198"/>
      <c r="AD366" s="198"/>
      <c r="AE366" s="198"/>
      <c r="AF366" s="198"/>
      <c r="AG366" s="198"/>
      <c r="AH366" s="198"/>
      <c r="AI366" s="198"/>
    </row>
    <row r="367" spans="24:35" ht="12">
      <c r="X367" s="198"/>
      <c r="Y367" s="198"/>
      <c r="Z367" s="198"/>
      <c r="AA367" s="198"/>
      <c r="AB367" s="198"/>
      <c r="AC367" s="198"/>
      <c r="AD367" s="198"/>
      <c r="AE367" s="198"/>
      <c r="AF367" s="198"/>
      <c r="AG367" s="198"/>
      <c r="AH367" s="198"/>
      <c r="AI367" s="198"/>
    </row>
    <row r="368" spans="24:35" ht="12">
      <c r="X368" s="198"/>
      <c r="Y368" s="198"/>
      <c r="Z368" s="198"/>
      <c r="AA368" s="198"/>
      <c r="AB368" s="198"/>
      <c r="AC368" s="198"/>
      <c r="AD368" s="198"/>
      <c r="AE368" s="198"/>
      <c r="AF368" s="198"/>
      <c r="AG368" s="198"/>
      <c r="AH368" s="198"/>
      <c r="AI368" s="198"/>
    </row>
    <row r="369" spans="24:35" ht="12">
      <c r="X369" s="198"/>
      <c r="Y369" s="198"/>
      <c r="Z369" s="198"/>
      <c r="AA369" s="198"/>
      <c r="AB369" s="198"/>
      <c r="AC369" s="198"/>
      <c r="AD369" s="198"/>
      <c r="AE369" s="198"/>
      <c r="AF369" s="198"/>
      <c r="AG369" s="198"/>
      <c r="AH369" s="198"/>
      <c r="AI369" s="198"/>
    </row>
    <row r="370" spans="24:35" ht="12">
      <c r="X370" s="198"/>
      <c r="Y370" s="198"/>
      <c r="Z370" s="198"/>
      <c r="AA370" s="198"/>
      <c r="AB370" s="198"/>
      <c r="AC370" s="198"/>
      <c r="AD370" s="198"/>
      <c r="AE370" s="198"/>
      <c r="AF370" s="198"/>
      <c r="AG370" s="198"/>
      <c r="AH370" s="198"/>
      <c r="AI370" s="198"/>
    </row>
    <row r="371" spans="24:35" ht="12">
      <c r="X371" s="198"/>
      <c r="Y371" s="198"/>
      <c r="Z371" s="198"/>
      <c r="AA371" s="198"/>
      <c r="AB371" s="198"/>
      <c r="AC371" s="198"/>
      <c r="AD371" s="198"/>
      <c r="AE371" s="198"/>
      <c r="AF371" s="198"/>
      <c r="AG371" s="198"/>
      <c r="AH371" s="198"/>
      <c r="AI371" s="198"/>
    </row>
    <row r="372" spans="24:35" ht="12">
      <c r="X372" s="198"/>
      <c r="Y372" s="198"/>
      <c r="Z372" s="198"/>
      <c r="AA372" s="198"/>
      <c r="AB372" s="198"/>
      <c r="AC372" s="198"/>
      <c r="AD372" s="198"/>
      <c r="AE372" s="198"/>
      <c r="AF372" s="198"/>
      <c r="AG372" s="198"/>
      <c r="AH372" s="198"/>
      <c r="AI372" s="198"/>
    </row>
    <row r="373" spans="24:35" ht="12">
      <c r="X373" s="198"/>
      <c r="Y373" s="198"/>
      <c r="Z373" s="198"/>
      <c r="AA373" s="198"/>
      <c r="AB373" s="198"/>
      <c r="AC373" s="198"/>
      <c r="AD373" s="198"/>
      <c r="AE373" s="198"/>
      <c r="AF373" s="198"/>
      <c r="AG373" s="198"/>
      <c r="AH373" s="198"/>
      <c r="AI373" s="198"/>
    </row>
    <row r="374" spans="24:35" ht="12">
      <c r="X374" s="198"/>
      <c r="Y374" s="198"/>
      <c r="Z374" s="198"/>
      <c r="AA374" s="198"/>
      <c r="AB374" s="198"/>
      <c r="AC374" s="198"/>
      <c r="AD374" s="198"/>
      <c r="AE374" s="198"/>
      <c r="AF374" s="198"/>
      <c r="AG374" s="198"/>
      <c r="AH374" s="198"/>
      <c r="AI374" s="198"/>
    </row>
    <row r="375" spans="24:35" ht="12">
      <c r="X375" s="198"/>
      <c r="Y375" s="198"/>
      <c r="Z375" s="198"/>
      <c r="AA375" s="198"/>
      <c r="AB375" s="198"/>
      <c r="AC375" s="198"/>
      <c r="AD375" s="198"/>
      <c r="AE375" s="198"/>
      <c r="AF375" s="198"/>
      <c r="AG375" s="198"/>
      <c r="AH375" s="198"/>
      <c r="AI375" s="198"/>
    </row>
    <row r="376" spans="24:35" ht="12">
      <c r="X376" s="198"/>
      <c r="Y376" s="198"/>
      <c r="Z376" s="198"/>
      <c r="AA376" s="198"/>
      <c r="AB376" s="198"/>
      <c r="AC376" s="198"/>
      <c r="AD376" s="198"/>
      <c r="AE376" s="198"/>
      <c r="AF376" s="198"/>
      <c r="AG376" s="198"/>
      <c r="AH376" s="198"/>
      <c r="AI376" s="198"/>
    </row>
    <row r="377" spans="24:35" ht="12">
      <c r="X377" s="198"/>
      <c r="Y377" s="198"/>
      <c r="Z377" s="198"/>
      <c r="AA377" s="198"/>
      <c r="AB377" s="198"/>
      <c r="AC377" s="198"/>
      <c r="AD377" s="198"/>
      <c r="AE377" s="198"/>
      <c r="AF377" s="198"/>
      <c r="AG377" s="198"/>
      <c r="AH377" s="198"/>
      <c r="AI377" s="198"/>
    </row>
    <row r="378" spans="24:35" ht="12">
      <c r="X378" s="198"/>
      <c r="Y378" s="198"/>
      <c r="Z378" s="198"/>
      <c r="AA378" s="198"/>
      <c r="AB378" s="198"/>
      <c r="AC378" s="198"/>
      <c r="AD378" s="198"/>
      <c r="AE378" s="198"/>
      <c r="AF378" s="198"/>
      <c r="AG378" s="198"/>
      <c r="AH378" s="198"/>
      <c r="AI378" s="198"/>
    </row>
    <row r="379" spans="24:35" ht="12">
      <c r="X379" s="198"/>
      <c r="Y379" s="198"/>
      <c r="Z379" s="198"/>
      <c r="AA379" s="198"/>
      <c r="AB379" s="198"/>
      <c r="AC379" s="198"/>
      <c r="AD379" s="198"/>
      <c r="AE379" s="198"/>
      <c r="AF379" s="198"/>
      <c r="AG379" s="198"/>
      <c r="AH379" s="198"/>
      <c r="AI379" s="198"/>
    </row>
    <row r="380" spans="24:35" ht="12">
      <c r="X380" s="198"/>
      <c r="Y380" s="198"/>
      <c r="Z380" s="198"/>
      <c r="AA380" s="198"/>
      <c r="AB380" s="198"/>
      <c r="AC380" s="198"/>
      <c r="AD380" s="198"/>
      <c r="AE380" s="198"/>
      <c r="AF380" s="198"/>
      <c r="AG380" s="198"/>
      <c r="AH380" s="198"/>
      <c r="AI380" s="198"/>
    </row>
    <row r="381" spans="24:35" ht="12">
      <c r="X381" s="198"/>
      <c r="Y381" s="198"/>
      <c r="Z381" s="198"/>
      <c r="AA381" s="198"/>
      <c r="AB381" s="198"/>
      <c r="AC381" s="198"/>
      <c r="AD381" s="198"/>
      <c r="AE381" s="198"/>
      <c r="AF381" s="198"/>
      <c r="AG381" s="198"/>
      <c r="AH381" s="198"/>
      <c r="AI381" s="198"/>
    </row>
    <row r="382" spans="24:35" ht="12">
      <c r="X382" s="198"/>
      <c r="Y382" s="198"/>
      <c r="Z382" s="198"/>
      <c r="AA382" s="198"/>
      <c r="AB382" s="198"/>
      <c r="AC382" s="198"/>
      <c r="AD382" s="198"/>
      <c r="AE382" s="198"/>
      <c r="AF382" s="198"/>
      <c r="AG382" s="198"/>
      <c r="AH382" s="198"/>
      <c r="AI382" s="198"/>
    </row>
    <row r="383" spans="24:35" ht="12">
      <c r="X383" s="198"/>
      <c r="Y383" s="198"/>
      <c r="Z383" s="198"/>
      <c r="AA383" s="198"/>
      <c r="AB383" s="198"/>
      <c r="AC383" s="198"/>
      <c r="AD383" s="198"/>
      <c r="AE383" s="198"/>
      <c r="AF383" s="198"/>
      <c r="AG383" s="198"/>
      <c r="AH383" s="198"/>
      <c r="AI383" s="198"/>
    </row>
    <row r="384" spans="24:35" ht="12">
      <c r="X384" s="198"/>
      <c r="Y384" s="198"/>
      <c r="Z384" s="198"/>
      <c r="AA384" s="198"/>
      <c r="AB384" s="198"/>
      <c r="AC384" s="198"/>
      <c r="AD384" s="198"/>
      <c r="AE384" s="198"/>
      <c r="AF384" s="198"/>
      <c r="AG384" s="198"/>
      <c r="AH384" s="198"/>
      <c r="AI384" s="198"/>
    </row>
    <row r="385" spans="24:35" ht="12">
      <c r="X385" s="198"/>
      <c r="Y385" s="198"/>
      <c r="Z385" s="198"/>
      <c r="AA385" s="198"/>
      <c r="AB385" s="198"/>
      <c r="AC385" s="198"/>
      <c r="AD385" s="198"/>
      <c r="AE385" s="198"/>
      <c r="AF385" s="198"/>
      <c r="AG385" s="198"/>
      <c r="AH385" s="198"/>
      <c r="AI385" s="198"/>
    </row>
    <row r="386" spans="24:35" ht="12">
      <c r="X386" s="198"/>
      <c r="Y386" s="198"/>
      <c r="Z386" s="198"/>
      <c r="AA386" s="198"/>
      <c r="AB386" s="198"/>
      <c r="AC386" s="198"/>
      <c r="AD386" s="198"/>
      <c r="AE386" s="198"/>
      <c r="AF386" s="198"/>
      <c r="AG386" s="198"/>
      <c r="AH386" s="198"/>
      <c r="AI386" s="198"/>
    </row>
    <row r="387" spans="24:35" ht="12">
      <c r="X387" s="198"/>
      <c r="Y387" s="198"/>
      <c r="Z387" s="198"/>
      <c r="AA387" s="198"/>
      <c r="AB387" s="198"/>
      <c r="AC387" s="198"/>
      <c r="AD387" s="198"/>
      <c r="AE387" s="198"/>
      <c r="AF387" s="198"/>
      <c r="AG387" s="198"/>
      <c r="AH387" s="198"/>
      <c r="AI387" s="198"/>
    </row>
    <row r="388" spans="24:35" ht="12">
      <c r="X388" s="198"/>
      <c r="Y388" s="198"/>
      <c r="Z388" s="198"/>
      <c r="AA388" s="198"/>
      <c r="AB388" s="198"/>
      <c r="AC388" s="198"/>
      <c r="AD388" s="198"/>
      <c r="AE388" s="198"/>
      <c r="AF388" s="198"/>
      <c r="AG388" s="198"/>
      <c r="AH388" s="198"/>
      <c r="AI388" s="198"/>
    </row>
    <row r="389" spans="24:35" ht="12">
      <c r="X389" s="198"/>
      <c r="Y389" s="198"/>
      <c r="Z389" s="198"/>
      <c r="AA389" s="198"/>
      <c r="AB389" s="198"/>
      <c r="AC389" s="198"/>
      <c r="AD389" s="198"/>
      <c r="AE389" s="198"/>
      <c r="AF389" s="198"/>
      <c r="AG389" s="198"/>
      <c r="AH389" s="198"/>
      <c r="AI389" s="198"/>
    </row>
    <row r="390" spans="24:35" ht="12">
      <c r="X390" s="198"/>
      <c r="Y390" s="198"/>
      <c r="Z390" s="198"/>
      <c r="AA390" s="198"/>
      <c r="AB390" s="198"/>
      <c r="AC390" s="198"/>
      <c r="AD390" s="198"/>
      <c r="AE390" s="198"/>
      <c r="AF390" s="198"/>
      <c r="AG390" s="198"/>
      <c r="AH390" s="198"/>
      <c r="AI390" s="198"/>
    </row>
    <row r="391" spans="24:35" ht="12">
      <c r="X391" s="198"/>
      <c r="Y391" s="198"/>
      <c r="Z391" s="198"/>
      <c r="AA391" s="198"/>
      <c r="AB391" s="198"/>
      <c r="AC391" s="198"/>
      <c r="AD391" s="198"/>
      <c r="AE391" s="198"/>
      <c r="AF391" s="198"/>
      <c r="AG391" s="198"/>
      <c r="AH391" s="198"/>
      <c r="AI391" s="198"/>
    </row>
    <row r="392" spans="24:35" ht="12">
      <c r="X392" s="198"/>
      <c r="Y392" s="198"/>
      <c r="Z392" s="198"/>
      <c r="AA392" s="198"/>
      <c r="AB392" s="198"/>
      <c r="AC392" s="198"/>
      <c r="AD392" s="198"/>
      <c r="AE392" s="198"/>
      <c r="AF392" s="198"/>
      <c r="AG392" s="198"/>
      <c r="AH392" s="198"/>
      <c r="AI392" s="198"/>
    </row>
    <row r="393" spans="24:35" ht="12">
      <c r="X393" s="198"/>
      <c r="Y393" s="198"/>
      <c r="Z393" s="198"/>
      <c r="AA393" s="198"/>
      <c r="AB393" s="198"/>
      <c r="AC393" s="198"/>
      <c r="AD393" s="198"/>
      <c r="AE393" s="198"/>
      <c r="AF393" s="198"/>
      <c r="AG393" s="198"/>
      <c r="AH393" s="198"/>
      <c r="AI393" s="198"/>
    </row>
    <row r="394" spans="24:35" ht="12">
      <c r="X394" s="198"/>
      <c r="Y394" s="198"/>
      <c r="Z394" s="198"/>
      <c r="AA394" s="198"/>
      <c r="AB394" s="198"/>
      <c r="AC394" s="198"/>
      <c r="AD394" s="198"/>
      <c r="AE394" s="198"/>
      <c r="AF394" s="198"/>
      <c r="AG394" s="198"/>
      <c r="AH394" s="198"/>
      <c r="AI394" s="198"/>
    </row>
    <row r="395" spans="24:35" ht="12">
      <c r="X395" s="198"/>
      <c r="Y395" s="198"/>
      <c r="Z395" s="198"/>
      <c r="AA395" s="198"/>
      <c r="AB395" s="198"/>
      <c r="AC395" s="198"/>
      <c r="AD395" s="198"/>
      <c r="AE395" s="198"/>
      <c r="AF395" s="198"/>
      <c r="AG395" s="198"/>
      <c r="AH395" s="198"/>
      <c r="AI395" s="198"/>
    </row>
    <row r="396" spans="24:35" ht="12">
      <c r="X396" s="198"/>
      <c r="Y396" s="198"/>
      <c r="Z396" s="198"/>
      <c r="AA396" s="198"/>
      <c r="AB396" s="198"/>
      <c r="AC396" s="198"/>
      <c r="AD396" s="198"/>
      <c r="AE396" s="198"/>
      <c r="AF396" s="198"/>
      <c r="AG396" s="198"/>
      <c r="AH396" s="198"/>
      <c r="AI396" s="198"/>
    </row>
    <row r="397" spans="24:35" ht="12">
      <c r="X397" s="198"/>
      <c r="Y397" s="198"/>
      <c r="Z397" s="198"/>
      <c r="AA397" s="198"/>
      <c r="AB397" s="198"/>
      <c r="AC397" s="198"/>
      <c r="AD397" s="198"/>
      <c r="AE397" s="198"/>
      <c r="AF397" s="198"/>
      <c r="AG397" s="198"/>
      <c r="AH397" s="198"/>
      <c r="AI397" s="198"/>
    </row>
    <row r="398" spans="24:35" ht="12">
      <c r="X398" s="198"/>
      <c r="Y398" s="198"/>
      <c r="Z398" s="198"/>
      <c r="AA398" s="198"/>
      <c r="AB398" s="198"/>
      <c r="AC398" s="198"/>
      <c r="AD398" s="198"/>
      <c r="AE398" s="198"/>
      <c r="AF398" s="198"/>
      <c r="AG398" s="198"/>
      <c r="AH398" s="198"/>
      <c r="AI398" s="198"/>
    </row>
    <row r="399" spans="24:35" ht="12">
      <c r="X399" s="198"/>
      <c r="Y399" s="198"/>
      <c r="Z399" s="198"/>
      <c r="AA399" s="198"/>
      <c r="AB399" s="198"/>
      <c r="AC399" s="198"/>
      <c r="AD399" s="198"/>
      <c r="AE399" s="198"/>
      <c r="AF399" s="198"/>
      <c r="AG399" s="198"/>
      <c r="AH399" s="198"/>
      <c r="AI399" s="198"/>
    </row>
    <row r="400" spans="24:35" ht="12">
      <c r="X400" s="198"/>
      <c r="Y400" s="198"/>
      <c r="Z400" s="198"/>
      <c r="AA400" s="198"/>
      <c r="AB400" s="198"/>
      <c r="AC400" s="198"/>
      <c r="AD400" s="198"/>
      <c r="AE400" s="198"/>
      <c r="AF400" s="198"/>
      <c r="AG400" s="198"/>
      <c r="AH400" s="198"/>
      <c r="AI400" s="198"/>
    </row>
    <row r="401" spans="24:35" ht="12">
      <c r="X401" s="198"/>
      <c r="Y401" s="198"/>
      <c r="Z401" s="198"/>
      <c r="AA401" s="198"/>
      <c r="AB401" s="198"/>
      <c r="AC401" s="198"/>
      <c r="AD401" s="198"/>
      <c r="AE401" s="198"/>
      <c r="AF401" s="198"/>
      <c r="AG401" s="198"/>
      <c r="AH401" s="198"/>
      <c r="AI401" s="198"/>
    </row>
    <row r="402" spans="24:35" ht="12">
      <c r="X402" s="198"/>
      <c r="Y402" s="198"/>
      <c r="Z402" s="198"/>
      <c r="AA402" s="198"/>
      <c r="AB402" s="198"/>
      <c r="AC402" s="198"/>
      <c r="AD402" s="198"/>
      <c r="AE402" s="198"/>
      <c r="AF402" s="198"/>
      <c r="AG402" s="198"/>
      <c r="AH402" s="198"/>
      <c r="AI402" s="198"/>
    </row>
    <row r="403" spans="24:35" ht="12">
      <c r="X403" s="198"/>
      <c r="Y403" s="198"/>
      <c r="Z403" s="198"/>
      <c r="AA403" s="198"/>
      <c r="AB403" s="198"/>
      <c r="AC403" s="198"/>
      <c r="AD403" s="198"/>
      <c r="AE403" s="198"/>
      <c r="AF403" s="198"/>
      <c r="AG403" s="198"/>
      <c r="AH403" s="198"/>
      <c r="AI403" s="198"/>
    </row>
    <row r="404" spans="24:35" ht="12">
      <c r="X404" s="198"/>
      <c r="Y404" s="198"/>
      <c r="Z404" s="198"/>
      <c r="AA404" s="198"/>
      <c r="AB404" s="198"/>
      <c r="AC404" s="198"/>
      <c r="AD404" s="198"/>
      <c r="AE404" s="198"/>
      <c r="AF404" s="198"/>
      <c r="AG404" s="198"/>
      <c r="AH404" s="198"/>
      <c r="AI404" s="198"/>
    </row>
    <row r="405" spans="24:35" ht="12">
      <c r="X405" s="198"/>
      <c r="Y405" s="198"/>
      <c r="Z405" s="198"/>
      <c r="AA405" s="198"/>
      <c r="AB405" s="198"/>
      <c r="AC405" s="198"/>
      <c r="AD405" s="198"/>
      <c r="AE405" s="198"/>
      <c r="AF405" s="198"/>
      <c r="AG405" s="198"/>
      <c r="AH405" s="198"/>
      <c r="AI405" s="198"/>
    </row>
    <row r="406" spans="24:35" ht="12">
      <c r="X406" s="198"/>
      <c r="Y406" s="198"/>
      <c r="Z406" s="198"/>
      <c r="AA406" s="198"/>
      <c r="AB406" s="198"/>
      <c r="AC406" s="198"/>
      <c r="AD406" s="198"/>
      <c r="AE406" s="198"/>
      <c r="AF406" s="198"/>
      <c r="AG406" s="198"/>
      <c r="AH406" s="198"/>
      <c r="AI406" s="198"/>
    </row>
    <row r="407" spans="24:35" ht="12">
      <c r="X407" s="198"/>
      <c r="Y407" s="198"/>
      <c r="Z407" s="198"/>
      <c r="AA407" s="198"/>
      <c r="AB407" s="198"/>
      <c r="AC407" s="198"/>
      <c r="AD407" s="198"/>
      <c r="AE407" s="198"/>
      <c r="AF407" s="198"/>
      <c r="AG407" s="198"/>
      <c r="AH407" s="198"/>
      <c r="AI407" s="198"/>
    </row>
    <row r="408" spans="24:35" ht="12">
      <c r="X408" s="198"/>
      <c r="Y408" s="198"/>
      <c r="Z408" s="198"/>
      <c r="AA408" s="198"/>
      <c r="AB408" s="198"/>
      <c r="AC408" s="198"/>
      <c r="AD408" s="198"/>
      <c r="AE408" s="198"/>
      <c r="AF408" s="198"/>
      <c r="AG408" s="198"/>
      <c r="AH408" s="198"/>
      <c r="AI408" s="198"/>
    </row>
    <row r="409" spans="24:35" ht="12">
      <c r="X409" s="198"/>
      <c r="Y409" s="198"/>
      <c r="Z409" s="198"/>
      <c r="AA409" s="198"/>
      <c r="AB409" s="198"/>
      <c r="AC409" s="198"/>
      <c r="AD409" s="198"/>
      <c r="AE409" s="198"/>
      <c r="AF409" s="198"/>
      <c r="AG409" s="198"/>
      <c r="AH409" s="198"/>
      <c r="AI409" s="198"/>
    </row>
    <row r="410" spans="24:35" ht="12">
      <c r="X410" s="198"/>
      <c r="Y410" s="198"/>
      <c r="Z410" s="198"/>
      <c r="AA410" s="198"/>
      <c r="AB410" s="198"/>
      <c r="AC410" s="198"/>
      <c r="AD410" s="198"/>
      <c r="AE410" s="198"/>
      <c r="AF410" s="198"/>
      <c r="AG410" s="198"/>
      <c r="AH410" s="198"/>
      <c r="AI410" s="198"/>
    </row>
    <row r="411" spans="24:35" ht="12">
      <c r="X411" s="198"/>
      <c r="Y411" s="198"/>
      <c r="Z411" s="198"/>
      <c r="AA411" s="198"/>
      <c r="AB411" s="198"/>
      <c r="AC411" s="198"/>
      <c r="AD411" s="198"/>
      <c r="AE411" s="198"/>
      <c r="AF411" s="198"/>
      <c r="AG411" s="198"/>
      <c r="AH411" s="198"/>
      <c r="AI411" s="198"/>
    </row>
    <row r="412" spans="24:35" ht="12">
      <c r="X412" s="198"/>
      <c r="Y412" s="198"/>
      <c r="Z412" s="198"/>
      <c r="AA412" s="198"/>
      <c r="AB412" s="198"/>
      <c r="AC412" s="198"/>
      <c r="AD412" s="198"/>
      <c r="AE412" s="198"/>
      <c r="AF412" s="198"/>
      <c r="AG412" s="198"/>
      <c r="AH412" s="198"/>
      <c r="AI412" s="198"/>
    </row>
    <row r="413" spans="24:35" ht="12">
      <c r="X413" s="198"/>
      <c r="Y413" s="198"/>
      <c r="Z413" s="198"/>
      <c r="AA413" s="198"/>
      <c r="AB413" s="198"/>
      <c r="AC413" s="198"/>
      <c r="AD413" s="198"/>
      <c r="AE413" s="198"/>
      <c r="AF413" s="198"/>
      <c r="AG413" s="198"/>
      <c r="AH413" s="198"/>
      <c r="AI413" s="198"/>
    </row>
    <row r="414" spans="24:35" ht="12">
      <c r="X414" s="198"/>
      <c r="Y414" s="198"/>
      <c r="Z414" s="198"/>
      <c r="AA414" s="198"/>
      <c r="AB414" s="198"/>
      <c r="AC414" s="198"/>
      <c r="AD414" s="198"/>
      <c r="AE414" s="198"/>
      <c r="AF414" s="198"/>
      <c r="AG414" s="198"/>
      <c r="AH414" s="198"/>
      <c r="AI414" s="198"/>
    </row>
    <row r="415" spans="24:35" ht="12">
      <c r="X415" s="198"/>
      <c r="Y415" s="198"/>
      <c r="Z415" s="198"/>
      <c r="AA415" s="198"/>
      <c r="AB415" s="198"/>
      <c r="AC415" s="198"/>
      <c r="AD415" s="198"/>
      <c r="AE415" s="198"/>
      <c r="AF415" s="198"/>
      <c r="AG415" s="198"/>
      <c r="AH415" s="198"/>
      <c r="AI415" s="198"/>
    </row>
    <row r="416" spans="24:35" ht="12">
      <c r="X416" s="198"/>
      <c r="Y416" s="198"/>
      <c r="Z416" s="198"/>
      <c r="AA416" s="198"/>
      <c r="AB416" s="198"/>
      <c r="AC416" s="198"/>
      <c r="AD416" s="198"/>
      <c r="AE416" s="198"/>
      <c r="AF416" s="198"/>
      <c r="AG416" s="198"/>
      <c r="AH416" s="198"/>
      <c r="AI416" s="198"/>
    </row>
    <row r="417" spans="24:35" ht="12">
      <c r="X417" s="198"/>
      <c r="Y417" s="198"/>
      <c r="Z417" s="198"/>
      <c r="AA417" s="198"/>
      <c r="AB417" s="198"/>
      <c r="AC417" s="198"/>
      <c r="AD417" s="198"/>
      <c r="AE417" s="198"/>
      <c r="AF417" s="198"/>
      <c r="AG417" s="198"/>
      <c r="AH417" s="198"/>
      <c r="AI417" s="198"/>
    </row>
    <row r="418" spans="24:35" ht="12">
      <c r="X418" s="198"/>
      <c r="Y418" s="198"/>
      <c r="Z418" s="198"/>
      <c r="AA418" s="198"/>
      <c r="AB418" s="198"/>
      <c r="AC418" s="198"/>
      <c r="AD418" s="198"/>
      <c r="AE418" s="198"/>
      <c r="AF418" s="198"/>
      <c r="AG418" s="198"/>
      <c r="AH418" s="198"/>
      <c r="AI418" s="198"/>
    </row>
    <row r="419" spans="24:35" ht="12">
      <c r="X419" s="198"/>
      <c r="Y419" s="198"/>
      <c r="Z419" s="198"/>
      <c r="AA419" s="198"/>
      <c r="AB419" s="198"/>
      <c r="AC419" s="198"/>
      <c r="AD419" s="198"/>
      <c r="AE419" s="198"/>
      <c r="AF419" s="198"/>
      <c r="AG419" s="198"/>
      <c r="AH419" s="198"/>
      <c r="AI419" s="198"/>
    </row>
    <row r="420" spans="24:35" ht="12">
      <c r="X420" s="198"/>
      <c r="Y420" s="198"/>
      <c r="Z420" s="198"/>
      <c r="AA420" s="198"/>
      <c r="AB420" s="198"/>
      <c r="AC420" s="198"/>
      <c r="AD420" s="198"/>
      <c r="AE420" s="198"/>
      <c r="AF420" s="198"/>
      <c r="AG420" s="198"/>
      <c r="AH420" s="198"/>
      <c r="AI420" s="198"/>
    </row>
    <row r="421" spans="24:35" ht="12">
      <c r="X421" s="198"/>
      <c r="Y421" s="198"/>
      <c r="Z421" s="198"/>
      <c r="AA421" s="198"/>
      <c r="AB421" s="198"/>
      <c r="AC421" s="198"/>
      <c r="AD421" s="198"/>
      <c r="AE421" s="198"/>
      <c r="AF421" s="198"/>
      <c r="AG421" s="198"/>
      <c r="AH421" s="198"/>
      <c r="AI421" s="198"/>
    </row>
    <row r="422" spans="24:35" ht="12">
      <c r="X422" s="198"/>
      <c r="Y422" s="198"/>
      <c r="Z422" s="198"/>
      <c r="AA422" s="198"/>
      <c r="AB422" s="198"/>
      <c r="AC422" s="198"/>
      <c r="AD422" s="198"/>
      <c r="AE422" s="198"/>
      <c r="AF422" s="198"/>
      <c r="AG422" s="198"/>
      <c r="AH422" s="198"/>
      <c r="AI422" s="198"/>
    </row>
    <row r="423" spans="24:35" ht="12">
      <c r="X423" s="198"/>
      <c r="Y423" s="198"/>
      <c r="Z423" s="198"/>
      <c r="AA423" s="198"/>
      <c r="AB423" s="198"/>
      <c r="AC423" s="198"/>
      <c r="AD423" s="198"/>
      <c r="AE423" s="198"/>
      <c r="AF423" s="198"/>
      <c r="AG423" s="198"/>
      <c r="AH423" s="198"/>
      <c r="AI423" s="198"/>
    </row>
    <row r="424" spans="24:35" ht="12">
      <c r="X424" s="198"/>
      <c r="Y424" s="198"/>
      <c r="Z424" s="198"/>
      <c r="AA424" s="198"/>
      <c r="AB424" s="198"/>
      <c r="AC424" s="198"/>
      <c r="AD424" s="198"/>
      <c r="AE424" s="198"/>
      <c r="AF424" s="198"/>
      <c r="AG424" s="198"/>
      <c r="AH424" s="198"/>
      <c r="AI424" s="198"/>
    </row>
    <row r="425" spans="24:35" ht="12">
      <c r="X425" s="198"/>
      <c r="Y425" s="198"/>
      <c r="Z425" s="198"/>
      <c r="AA425" s="198"/>
      <c r="AB425" s="198"/>
      <c r="AC425" s="198"/>
      <c r="AD425" s="198"/>
      <c r="AE425" s="198"/>
      <c r="AF425" s="198"/>
      <c r="AG425" s="198"/>
      <c r="AH425" s="198"/>
      <c r="AI425" s="198"/>
    </row>
    <row r="426" spans="24:35" ht="12">
      <c r="X426" s="198"/>
      <c r="Y426" s="198"/>
      <c r="Z426" s="198"/>
      <c r="AA426" s="198"/>
      <c r="AB426" s="198"/>
      <c r="AC426" s="198"/>
      <c r="AD426" s="198"/>
      <c r="AE426" s="198"/>
      <c r="AF426" s="198"/>
      <c r="AG426" s="198"/>
      <c r="AH426" s="198"/>
      <c r="AI426" s="198"/>
    </row>
    <row r="427" spans="24:35" ht="12">
      <c r="X427" s="198"/>
      <c r="Y427" s="198"/>
      <c r="Z427" s="198"/>
      <c r="AA427" s="198"/>
      <c r="AB427" s="198"/>
      <c r="AC427" s="198"/>
      <c r="AD427" s="198"/>
      <c r="AE427" s="198"/>
      <c r="AF427" s="198"/>
      <c r="AG427" s="198"/>
      <c r="AH427" s="198"/>
      <c r="AI427" s="198"/>
    </row>
    <row r="428" spans="24:35" ht="12">
      <c r="X428" s="198"/>
      <c r="Y428" s="198"/>
      <c r="Z428" s="198"/>
      <c r="AA428" s="198"/>
      <c r="AB428" s="198"/>
      <c r="AC428" s="198"/>
      <c r="AD428" s="198"/>
      <c r="AE428" s="198"/>
      <c r="AF428" s="198"/>
      <c r="AG428" s="198"/>
      <c r="AH428" s="198"/>
      <c r="AI428" s="198"/>
    </row>
    <row r="429" spans="24:35" ht="12">
      <c r="X429" s="198"/>
      <c r="Y429" s="198"/>
      <c r="Z429" s="198"/>
      <c r="AA429" s="198"/>
      <c r="AB429" s="198"/>
      <c r="AC429" s="198"/>
      <c r="AD429" s="198"/>
      <c r="AE429" s="198"/>
      <c r="AF429" s="198"/>
      <c r="AG429" s="198"/>
      <c r="AH429" s="198"/>
      <c r="AI429" s="198"/>
    </row>
    <row r="430" spans="24:35" ht="12">
      <c r="X430" s="198"/>
      <c r="Y430" s="198"/>
      <c r="Z430" s="198"/>
      <c r="AA430" s="198"/>
      <c r="AB430" s="198"/>
      <c r="AC430" s="198"/>
      <c r="AD430" s="198"/>
      <c r="AE430" s="198"/>
      <c r="AF430" s="198"/>
      <c r="AG430" s="198"/>
      <c r="AH430" s="198"/>
      <c r="AI430" s="198"/>
    </row>
    <row r="431" spans="24:35" ht="12">
      <c r="X431" s="198"/>
      <c r="Y431" s="198"/>
      <c r="Z431" s="198"/>
      <c r="AA431" s="198"/>
      <c r="AB431" s="198"/>
      <c r="AC431" s="198"/>
      <c r="AD431" s="198"/>
      <c r="AE431" s="198"/>
      <c r="AF431" s="198"/>
      <c r="AG431" s="198"/>
      <c r="AH431" s="198"/>
      <c r="AI431" s="198"/>
    </row>
    <row r="432" spans="24:35" ht="12">
      <c r="X432" s="198"/>
      <c r="Y432" s="198"/>
      <c r="Z432" s="198"/>
      <c r="AA432" s="198"/>
      <c r="AB432" s="198"/>
      <c r="AC432" s="198"/>
      <c r="AD432" s="198"/>
      <c r="AE432" s="198"/>
      <c r="AF432" s="198"/>
      <c r="AG432" s="198"/>
      <c r="AH432" s="198"/>
      <c r="AI432" s="198"/>
    </row>
    <row r="433" spans="24:35" ht="12">
      <c r="X433" s="198"/>
      <c r="Y433" s="198"/>
      <c r="Z433" s="198"/>
      <c r="AA433" s="198"/>
      <c r="AB433" s="198"/>
      <c r="AC433" s="198"/>
      <c r="AD433" s="198"/>
      <c r="AE433" s="198"/>
      <c r="AF433" s="198"/>
      <c r="AG433" s="198"/>
      <c r="AH433" s="198"/>
      <c r="AI433" s="198"/>
    </row>
    <row r="434" spans="24:35" ht="12">
      <c r="X434" s="198"/>
      <c r="Y434" s="198"/>
      <c r="Z434" s="198"/>
      <c r="AA434" s="198"/>
      <c r="AB434" s="198"/>
      <c r="AC434" s="198"/>
      <c r="AD434" s="198"/>
      <c r="AE434" s="198"/>
      <c r="AF434" s="198"/>
      <c r="AG434" s="198"/>
      <c r="AH434" s="198"/>
      <c r="AI434" s="198"/>
    </row>
    <row r="435" spans="24:35" ht="12">
      <c r="X435" s="198"/>
      <c r="Y435" s="198"/>
      <c r="Z435" s="198"/>
      <c r="AA435" s="198"/>
      <c r="AB435" s="198"/>
      <c r="AC435" s="198"/>
      <c r="AD435" s="198"/>
      <c r="AE435" s="198"/>
      <c r="AF435" s="198"/>
      <c r="AG435" s="198"/>
      <c r="AH435" s="198"/>
      <c r="AI435" s="198"/>
    </row>
    <row r="436" spans="24:35" ht="12">
      <c r="X436" s="198"/>
      <c r="Y436" s="198"/>
      <c r="Z436" s="198"/>
      <c r="AA436" s="198"/>
      <c r="AB436" s="198"/>
      <c r="AC436" s="198"/>
      <c r="AD436" s="198"/>
      <c r="AE436" s="198"/>
      <c r="AF436" s="198"/>
      <c r="AG436" s="198"/>
      <c r="AH436" s="198"/>
      <c r="AI436" s="198"/>
    </row>
    <row r="437" spans="24:35" ht="12">
      <c r="X437" s="198"/>
      <c r="Y437" s="198"/>
      <c r="Z437" s="198"/>
      <c r="AA437" s="198"/>
      <c r="AB437" s="198"/>
      <c r="AC437" s="198"/>
      <c r="AD437" s="198"/>
      <c r="AE437" s="198"/>
      <c r="AF437" s="198"/>
      <c r="AG437" s="198"/>
      <c r="AH437" s="198"/>
      <c r="AI437" s="198"/>
    </row>
    <row r="438" spans="24:35" ht="12">
      <c r="X438" s="198"/>
      <c r="Y438" s="198"/>
      <c r="Z438" s="198"/>
      <c r="AA438" s="198"/>
      <c r="AB438" s="198"/>
      <c r="AC438" s="198"/>
      <c r="AD438" s="198"/>
      <c r="AE438" s="198"/>
      <c r="AF438" s="198"/>
      <c r="AG438" s="198"/>
      <c r="AH438" s="198"/>
      <c r="AI438" s="198"/>
    </row>
    <row r="439" spans="24:35" ht="12">
      <c r="X439" s="198"/>
      <c r="Y439" s="198"/>
      <c r="Z439" s="198"/>
      <c r="AA439" s="198"/>
      <c r="AB439" s="198"/>
      <c r="AC439" s="198"/>
      <c r="AD439" s="198"/>
      <c r="AE439" s="198"/>
      <c r="AF439" s="198"/>
      <c r="AG439" s="198"/>
      <c r="AH439" s="198"/>
      <c r="AI439" s="198"/>
    </row>
    <row r="440" spans="24:35" ht="12">
      <c r="X440" s="198"/>
      <c r="Y440" s="198"/>
      <c r="Z440" s="198"/>
      <c r="AA440" s="198"/>
      <c r="AB440" s="198"/>
      <c r="AC440" s="198"/>
      <c r="AD440" s="198"/>
      <c r="AE440" s="198"/>
      <c r="AF440" s="198"/>
      <c r="AG440" s="198"/>
      <c r="AH440" s="198"/>
      <c r="AI440" s="198"/>
    </row>
    <row r="441" spans="24:35" ht="12">
      <c r="X441" s="198"/>
      <c r="Y441" s="198"/>
      <c r="Z441" s="198"/>
      <c r="AA441" s="198"/>
      <c r="AB441" s="198"/>
      <c r="AC441" s="198"/>
      <c r="AD441" s="198"/>
      <c r="AE441" s="198"/>
      <c r="AF441" s="198"/>
      <c r="AG441" s="198"/>
      <c r="AH441" s="198"/>
      <c r="AI441" s="198"/>
    </row>
    <row r="442" spans="24:35" ht="12">
      <c r="X442" s="198"/>
      <c r="Y442" s="198"/>
      <c r="Z442" s="198"/>
      <c r="AA442" s="198"/>
      <c r="AB442" s="198"/>
      <c r="AC442" s="198"/>
      <c r="AD442" s="198"/>
      <c r="AE442" s="198"/>
      <c r="AF442" s="198"/>
      <c r="AG442" s="198"/>
      <c r="AH442" s="198"/>
      <c r="AI442" s="198"/>
    </row>
    <row r="443" spans="24:35" ht="12">
      <c r="X443" s="198"/>
      <c r="Y443" s="198"/>
      <c r="Z443" s="198"/>
      <c r="AA443" s="198"/>
      <c r="AB443" s="198"/>
      <c r="AC443" s="198"/>
      <c r="AD443" s="198"/>
      <c r="AE443" s="198"/>
      <c r="AF443" s="198"/>
      <c r="AG443" s="198"/>
      <c r="AH443" s="198"/>
      <c r="AI443" s="198"/>
    </row>
    <row r="444" spans="24:35" ht="12">
      <c r="X444" s="198"/>
      <c r="Y444" s="198"/>
      <c r="Z444" s="198"/>
      <c r="AA444" s="198"/>
      <c r="AB444" s="198"/>
      <c r="AC444" s="198"/>
      <c r="AD444" s="198"/>
      <c r="AE444" s="198"/>
      <c r="AF444" s="198"/>
      <c r="AG444" s="198"/>
      <c r="AH444" s="198"/>
      <c r="AI444" s="198"/>
    </row>
    <row r="445" spans="24:35" ht="12">
      <c r="X445" s="198"/>
      <c r="Y445" s="198"/>
      <c r="Z445" s="198"/>
      <c r="AA445" s="198"/>
      <c r="AB445" s="198"/>
      <c r="AC445" s="198"/>
      <c r="AD445" s="198"/>
      <c r="AE445" s="198"/>
      <c r="AF445" s="198"/>
      <c r="AG445" s="198"/>
      <c r="AH445" s="198"/>
      <c r="AI445" s="198"/>
    </row>
    <row r="446" spans="24:35" ht="12">
      <c r="X446" s="198"/>
      <c r="Y446" s="198"/>
      <c r="Z446" s="198"/>
      <c r="AA446" s="198"/>
      <c r="AB446" s="198"/>
      <c r="AC446" s="198"/>
      <c r="AD446" s="198"/>
      <c r="AE446" s="198"/>
      <c r="AF446" s="198"/>
      <c r="AG446" s="198"/>
      <c r="AH446" s="198"/>
      <c r="AI446" s="198"/>
    </row>
    <row r="447" spans="24:35" ht="12">
      <c r="X447" s="198"/>
      <c r="Y447" s="198"/>
      <c r="Z447" s="198"/>
      <c r="AA447" s="198"/>
      <c r="AB447" s="198"/>
      <c r="AC447" s="198"/>
      <c r="AD447" s="198"/>
      <c r="AE447" s="198"/>
      <c r="AF447" s="198"/>
      <c r="AG447" s="198"/>
      <c r="AH447" s="198"/>
      <c r="AI447" s="198"/>
    </row>
    <row r="448" spans="24:35" ht="12">
      <c r="X448" s="198"/>
      <c r="Y448" s="198"/>
      <c r="Z448" s="198"/>
      <c r="AA448" s="198"/>
      <c r="AB448" s="198"/>
      <c r="AC448" s="198"/>
      <c r="AD448" s="198"/>
      <c r="AE448" s="198"/>
      <c r="AF448" s="198"/>
      <c r="AG448" s="198"/>
      <c r="AH448" s="198"/>
      <c r="AI448" s="198"/>
    </row>
    <row r="449" spans="24:35" ht="12">
      <c r="X449" s="198"/>
      <c r="Y449" s="198"/>
      <c r="Z449" s="198"/>
      <c r="AA449" s="198"/>
      <c r="AB449" s="198"/>
      <c r="AC449" s="198"/>
      <c r="AD449" s="198"/>
      <c r="AE449" s="198"/>
      <c r="AF449" s="198"/>
      <c r="AG449" s="198"/>
      <c r="AH449" s="198"/>
      <c r="AI449" s="198"/>
    </row>
    <row r="450" spans="24:35" ht="12">
      <c r="X450" s="198"/>
      <c r="Y450" s="198"/>
      <c r="Z450" s="198"/>
      <c r="AA450" s="198"/>
      <c r="AB450" s="198"/>
      <c r="AC450" s="198"/>
      <c r="AD450" s="198"/>
      <c r="AE450" s="198"/>
      <c r="AF450" s="198"/>
      <c r="AG450" s="198"/>
      <c r="AH450" s="198"/>
      <c r="AI450" s="198"/>
    </row>
    <row r="451" spans="24:35" ht="12">
      <c r="X451" s="198"/>
      <c r="Y451" s="198"/>
      <c r="Z451" s="198"/>
      <c r="AA451" s="198"/>
      <c r="AB451" s="198"/>
      <c r="AC451" s="198"/>
      <c r="AD451" s="198"/>
      <c r="AE451" s="198"/>
      <c r="AF451" s="198"/>
      <c r="AG451" s="198"/>
      <c r="AH451" s="198"/>
      <c r="AI451" s="198"/>
    </row>
    <row r="452" spans="24:35" ht="12">
      <c r="X452" s="198"/>
      <c r="Y452" s="198"/>
      <c r="Z452" s="198"/>
      <c r="AA452" s="198"/>
      <c r="AB452" s="198"/>
      <c r="AC452" s="198"/>
      <c r="AD452" s="198"/>
      <c r="AE452" s="198"/>
      <c r="AF452" s="198"/>
      <c r="AG452" s="198"/>
      <c r="AH452" s="198"/>
      <c r="AI452" s="198"/>
    </row>
    <row r="453" spans="24:35" ht="12">
      <c r="X453" s="198"/>
      <c r="Y453" s="198"/>
      <c r="Z453" s="198"/>
      <c r="AA453" s="198"/>
      <c r="AB453" s="198"/>
      <c r="AC453" s="198"/>
      <c r="AD453" s="198"/>
      <c r="AE453" s="198"/>
      <c r="AF453" s="198"/>
      <c r="AG453" s="198"/>
      <c r="AH453" s="198"/>
      <c r="AI453" s="198"/>
    </row>
    <row r="454" spans="24:35" ht="12">
      <c r="X454" s="198"/>
      <c r="Y454" s="198"/>
      <c r="Z454" s="198"/>
      <c r="AA454" s="198"/>
      <c r="AB454" s="198"/>
      <c r="AC454" s="198"/>
      <c r="AD454" s="198"/>
      <c r="AE454" s="198"/>
      <c r="AF454" s="198"/>
      <c r="AG454" s="198"/>
      <c r="AH454" s="198"/>
      <c r="AI454" s="198"/>
    </row>
    <row r="455" spans="24:35" ht="12">
      <c r="X455" s="198"/>
      <c r="Y455" s="198"/>
      <c r="Z455" s="198"/>
      <c r="AA455" s="198"/>
      <c r="AB455" s="198"/>
      <c r="AC455" s="198"/>
      <c r="AD455" s="198"/>
      <c r="AE455" s="198"/>
      <c r="AF455" s="198"/>
      <c r="AG455" s="198"/>
      <c r="AH455" s="198"/>
      <c r="AI455" s="198"/>
    </row>
    <row r="456" spans="24:35" ht="12">
      <c r="X456" s="198"/>
      <c r="Y456" s="198"/>
      <c r="Z456" s="198"/>
      <c r="AA456" s="198"/>
      <c r="AB456" s="198"/>
      <c r="AC456" s="198"/>
      <c r="AD456" s="198"/>
      <c r="AE456" s="198"/>
      <c r="AF456" s="198"/>
      <c r="AG456" s="198"/>
      <c r="AH456" s="198"/>
      <c r="AI456" s="198"/>
    </row>
    <row r="457" spans="24:35" ht="12">
      <c r="X457" s="198"/>
      <c r="Y457" s="198"/>
      <c r="Z457" s="198"/>
      <c r="AA457" s="198"/>
      <c r="AB457" s="198"/>
      <c r="AC457" s="198"/>
      <c r="AD457" s="198"/>
      <c r="AE457" s="198"/>
      <c r="AF457" s="198"/>
      <c r="AG457" s="198"/>
      <c r="AH457" s="198"/>
      <c r="AI457" s="198"/>
    </row>
    <row r="458" spans="24:35" ht="12">
      <c r="X458" s="198"/>
      <c r="Y458" s="198"/>
      <c r="Z458" s="198"/>
      <c r="AA458" s="198"/>
      <c r="AB458" s="198"/>
      <c r="AC458" s="198"/>
      <c r="AD458" s="198"/>
      <c r="AE458" s="198"/>
      <c r="AF458" s="198"/>
      <c r="AG458" s="198"/>
      <c r="AH458" s="198"/>
      <c r="AI458" s="198"/>
    </row>
    <row r="459" spans="24:35" ht="12">
      <c r="X459" s="198"/>
      <c r="Y459" s="198"/>
      <c r="Z459" s="198"/>
      <c r="AA459" s="198"/>
      <c r="AB459" s="198"/>
      <c r="AC459" s="198"/>
      <c r="AD459" s="198"/>
      <c r="AE459" s="198"/>
      <c r="AF459" s="198"/>
      <c r="AG459" s="198"/>
      <c r="AH459" s="198"/>
      <c r="AI459" s="198"/>
    </row>
    <row r="460" spans="24:35" ht="12">
      <c r="X460" s="198"/>
      <c r="Y460" s="198"/>
      <c r="Z460" s="198"/>
      <c r="AA460" s="198"/>
      <c r="AB460" s="198"/>
      <c r="AC460" s="198"/>
      <c r="AD460" s="198"/>
      <c r="AE460" s="198"/>
      <c r="AF460" s="198"/>
      <c r="AG460" s="198"/>
      <c r="AH460" s="198"/>
      <c r="AI460" s="198"/>
    </row>
    <row r="461" spans="24:35" ht="12">
      <c r="X461" s="198"/>
      <c r="Y461" s="198"/>
      <c r="Z461" s="198"/>
      <c r="AA461" s="198"/>
      <c r="AB461" s="198"/>
      <c r="AC461" s="198"/>
      <c r="AD461" s="198"/>
      <c r="AE461" s="198"/>
      <c r="AF461" s="198"/>
      <c r="AG461" s="198"/>
      <c r="AH461" s="198"/>
      <c r="AI461" s="198"/>
    </row>
    <row r="462" spans="24:35" ht="12">
      <c r="X462" s="198"/>
      <c r="Y462" s="198"/>
      <c r="Z462" s="198"/>
      <c r="AA462" s="198"/>
      <c r="AB462" s="198"/>
      <c r="AC462" s="198"/>
      <c r="AD462" s="198"/>
      <c r="AE462" s="198"/>
      <c r="AF462" s="198"/>
      <c r="AG462" s="198"/>
      <c r="AH462" s="198"/>
      <c r="AI462" s="198"/>
    </row>
    <row r="463" spans="24:35" ht="12">
      <c r="X463" s="198"/>
      <c r="Y463" s="198"/>
      <c r="Z463" s="198"/>
      <c r="AA463" s="198"/>
      <c r="AB463" s="198"/>
      <c r="AC463" s="198"/>
      <c r="AD463" s="198"/>
      <c r="AE463" s="198"/>
      <c r="AF463" s="198"/>
      <c r="AG463" s="198"/>
      <c r="AH463" s="198"/>
      <c r="AI463" s="198"/>
    </row>
    <row r="464" spans="24:35" ht="12">
      <c r="X464" s="198"/>
      <c r="Y464" s="198"/>
      <c r="Z464" s="198"/>
      <c r="AA464" s="198"/>
      <c r="AB464" s="198"/>
      <c r="AC464" s="198"/>
      <c r="AD464" s="198"/>
      <c r="AE464" s="198"/>
      <c r="AF464" s="198"/>
      <c r="AG464" s="198"/>
      <c r="AH464" s="198"/>
      <c r="AI464" s="198"/>
    </row>
    <row r="465" spans="24:35" ht="12">
      <c r="X465" s="198"/>
      <c r="Y465" s="198"/>
      <c r="Z465" s="198"/>
      <c r="AA465" s="198"/>
      <c r="AB465" s="198"/>
      <c r="AC465" s="198"/>
      <c r="AD465" s="198"/>
      <c r="AE465" s="198"/>
      <c r="AF465" s="198"/>
      <c r="AG465" s="198"/>
      <c r="AH465" s="198"/>
      <c r="AI465" s="198"/>
    </row>
    <row r="466" spans="24:35" ht="12">
      <c r="X466" s="198"/>
      <c r="Y466" s="198"/>
      <c r="Z466" s="198"/>
      <c r="AA466" s="198"/>
      <c r="AB466" s="198"/>
      <c r="AC466" s="198"/>
      <c r="AD466" s="198"/>
      <c r="AE466" s="198"/>
      <c r="AF466" s="198"/>
      <c r="AG466" s="198"/>
      <c r="AH466" s="198"/>
      <c r="AI466" s="198"/>
    </row>
    <row r="467" spans="24:35" ht="12">
      <c r="X467" s="198"/>
      <c r="Y467" s="198"/>
      <c r="Z467" s="198"/>
      <c r="AA467" s="198"/>
      <c r="AB467" s="198"/>
      <c r="AC467" s="198"/>
      <c r="AD467" s="198"/>
      <c r="AE467" s="198"/>
      <c r="AF467" s="198"/>
      <c r="AG467" s="198"/>
      <c r="AH467" s="198"/>
      <c r="AI467" s="198"/>
    </row>
    <row r="468" spans="24:35" ht="12">
      <c r="X468" s="198"/>
      <c r="Y468" s="198"/>
      <c r="Z468" s="198"/>
      <c r="AA468" s="198"/>
      <c r="AB468" s="198"/>
      <c r="AC468" s="198"/>
      <c r="AD468" s="198"/>
      <c r="AE468" s="198"/>
      <c r="AF468" s="198"/>
      <c r="AG468" s="198"/>
      <c r="AH468" s="198"/>
      <c r="AI468" s="198"/>
    </row>
    <row r="469" spans="24:35" ht="12">
      <c r="X469" s="198"/>
      <c r="Y469" s="198"/>
      <c r="Z469" s="198"/>
      <c r="AA469" s="198"/>
      <c r="AB469" s="198"/>
      <c r="AC469" s="198"/>
      <c r="AD469" s="198"/>
      <c r="AE469" s="198"/>
      <c r="AF469" s="198"/>
      <c r="AG469" s="198"/>
      <c r="AH469" s="198"/>
      <c r="AI469" s="198"/>
    </row>
    <row r="470" spans="24:35" ht="12">
      <c r="X470" s="198"/>
      <c r="Y470" s="198"/>
      <c r="Z470" s="198"/>
      <c r="AA470" s="198"/>
      <c r="AB470" s="198"/>
      <c r="AC470" s="198"/>
      <c r="AD470" s="198"/>
      <c r="AE470" s="198"/>
      <c r="AF470" s="198"/>
      <c r="AG470" s="198"/>
      <c r="AH470" s="198"/>
      <c r="AI470" s="198"/>
    </row>
    <row r="471" spans="24:35" ht="12">
      <c r="X471" s="198"/>
      <c r="Y471" s="198"/>
      <c r="Z471" s="198"/>
      <c r="AA471" s="198"/>
      <c r="AB471" s="198"/>
      <c r="AC471" s="198"/>
      <c r="AD471" s="198"/>
      <c r="AE471" s="198"/>
      <c r="AF471" s="198"/>
      <c r="AG471" s="198"/>
      <c r="AH471" s="198"/>
      <c r="AI471" s="198"/>
    </row>
    <row r="472" spans="24:35" ht="12">
      <c r="X472" s="198"/>
      <c r="Y472" s="198"/>
      <c r="Z472" s="198"/>
      <c r="AA472" s="198"/>
      <c r="AB472" s="198"/>
      <c r="AC472" s="198"/>
      <c r="AD472" s="198"/>
      <c r="AE472" s="198"/>
      <c r="AF472" s="198"/>
      <c r="AG472" s="198"/>
      <c r="AH472" s="198"/>
      <c r="AI472" s="198"/>
    </row>
    <row r="473" spans="24:35" ht="12">
      <c r="X473" s="198"/>
      <c r="Y473" s="198"/>
      <c r="Z473" s="198"/>
      <c r="AA473" s="198"/>
      <c r="AB473" s="198"/>
      <c r="AC473" s="198"/>
      <c r="AD473" s="198"/>
      <c r="AE473" s="198"/>
      <c r="AF473" s="198"/>
      <c r="AG473" s="198"/>
      <c r="AH473" s="198"/>
      <c r="AI473" s="198"/>
    </row>
    <row r="474" spans="24:35" ht="12">
      <c r="X474" s="198"/>
      <c r="Y474" s="198"/>
      <c r="Z474" s="198"/>
      <c r="AA474" s="198"/>
      <c r="AB474" s="198"/>
      <c r="AC474" s="198"/>
      <c r="AD474" s="198"/>
      <c r="AE474" s="198"/>
      <c r="AF474" s="198"/>
      <c r="AG474" s="198"/>
      <c r="AH474" s="198"/>
      <c r="AI474" s="198"/>
    </row>
    <row r="475" spans="24:35" ht="12">
      <c r="X475" s="198"/>
      <c r="Y475" s="198"/>
      <c r="Z475" s="198"/>
      <c r="AA475" s="198"/>
      <c r="AB475" s="198"/>
      <c r="AC475" s="198"/>
      <c r="AD475" s="198"/>
      <c r="AE475" s="198"/>
      <c r="AF475" s="198"/>
      <c r="AG475" s="198"/>
      <c r="AH475" s="198"/>
      <c r="AI475" s="198"/>
    </row>
    <row r="476" spans="24:35" ht="12">
      <c r="X476" s="198"/>
      <c r="Y476" s="198"/>
      <c r="Z476" s="198"/>
      <c r="AA476" s="198"/>
      <c r="AB476" s="198"/>
      <c r="AC476" s="198"/>
      <c r="AD476" s="198"/>
      <c r="AE476" s="198"/>
      <c r="AF476" s="198"/>
      <c r="AG476" s="198"/>
      <c r="AH476" s="198"/>
      <c r="AI476" s="198"/>
    </row>
    <row r="477" spans="24:35" ht="12">
      <c r="X477" s="198"/>
      <c r="Y477" s="198"/>
      <c r="Z477" s="198"/>
      <c r="AA477" s="198"/>
      <c r="AB477" s="198"/>
      <c r="AC477" s="198"/>
      <c r="AD477" s="198"/>
      <c r="AE477" s="198"/>
      <c r="AF477" s="198"/>
      <c r="AG477" s="198"/>
      <c r="AH477" s="198"/>
      <c r="AI477" s="198"/>
    </row>
    <row r="478" spans="24:35" ht="12">
      <c r="X478" s="198"/>
      <c r="Y478" s="198"/>
      <c r="Z478" s="198"/>
      <c r="AA478" s="198"/>
      <c r="AB478" s="198"/>
      <c r="AC478" s="198"/>
      <c r="AD478" s="198"/>
      <c r="AE478" s="198"/>
      <c r="AF478" s="198"/>
      <c r="AG478" s="198"/>
      <c r="AH478" s="198"/>
      <c r="AI478" s="198"/>
    </row>
    <row r="479" spans="24:35" ht="12">
      <c r="X479" s="198"/>
      <c r="Y479" s="198"/>
      <c r="Z479" s="198"/>
      <c r="AA479" s="198"/>
      <c r="AB479" s="198"/>
      <c r="AC479" s="198"/>
      <c r="AD479" s="198"/>
      <c r="AE479" s="198"/>
      <c r="AF479" s="198"/>
      <c r="AG479" s="198"/>
      <c r="AH479" s="198"/>
      <c r="AI479" s="198"/>
    </row>
    <row r="480" spans="24:35" ht="12">
      <c r="X480" s="198"/>
      <c r="Y480" s="198"/>
      <c r="Z480" s="198"/>
      <c r="AA480" s="198"/>
      <c r="AB480" s="198"/>
      <c r="AC480" s="198"/>
      <c r="AD480" s="198"/>
      <c r="AE480" s="198"/>
      <c r="AF480" s="198"/>
      <c r="AG480" s="198"/>
      <c r="AH480" s="198"/>
      <c r="AI480" s="198"/>
    </row>
    <row r="481" spans="24:35" ht="12">
      <c r="X481" s="198"/>
      <c r="Y481" s="198"/>
      <c r="Z481" s="198"/>
      <c r="AA481" s="198"/>
      <c r="AB481" s="198"/>
      <c r="AC481" s="198"/>
      <c r="AD481" s="198"/>
      <c r="AE481" s="198"/>
      <c r="AF481" s="198"/>
      <c r="AG481" s="198"/>
      <c r="AH481" s="198"/>
      <c r="AI481" s="198"/>
    </row>
    <row r="482" spans="24:35" ht="12">
      <c r="X482" s="198"/>
      <c r="Y482" s="198"/>
      <c r="Z482" s="198"/>
      <c r="AA482" s="198"/>
      <c r="AB482" s="198"/>
      <c r="AC482" s="198"/>
      <c r="AD482" s="198"/>
      <c r="AE482" s="198"/>
      <c r="AF482" s="198"/>
      <c r="AG482" s="198"/>
      <c r="AH482" s="198"/>
      <c r="AI482" s="198"/>
    </row>
    <row r="483" spans="24:35" ht="12">
      <c r="X483" s="198"/>
      <c r="Y483" s="198"/>
      <c r="Z483" s="198"/>
      <c r="AA483" s="198"/>
      <c r="AB483" s="198"/>
      <c r="AC483" s="198"/>
      <c r="AD483" s="198"/>
      <c r="AE483" s="198"/>
      <c r="AF483" s="198"/>
      <c r="AG483" s="198"/>
      <c r="AH483" s="198"/>
      <c r="AI483" s="198"/>
    </row>
    <row r="484" spans="24:35" ht="12">
      <c r="X484" s="198"/>
      <c r="Y484" s="198"/>
      <c r="Z484" s="198"/>
      <c r="AA484" s="198"/>
      <c r="AB484" s="198"/>
      <c r="AC484" s="198"/>
      <c r="AD484" s="198"/>
      <c r="AE484" s="198"/>
      <c r="AF484" s="198"/>
      <c r="AG484" s="198"/>
      <c r="AH484" s="198"/>
      <c r="AI484" s="198"/>
    </row>
    <row r="485" spans="24:35" ht="12">
      <c r="X485" s="198"/>
      <c r="Y485" s="198"/>
      <c r="Z485" s="198"/>
      <c r="AA485" s="198"/>
      <c r="AB485" s="198"/>
      <c r="AC485" s="198"/>
      <c r="AD485" s="198"/>
      <c r="AE485" s="198"/>
      <c r="AF485" s="198"/>
      <c r="AG485" s="198"/>
      <c r="AH485" s="198"/>
      <c r="AI485" s="198"/>
    </row>
    <row r="486" spans="24:35" ht="12">
      <c r="X486" s="198"/>
      <c r="Y486" s="198"/>
      <c r="Z486" s="198"/>
      <c r="AA486" s="198"/>
      <c r="AB486" s="198"/>
      <c r="AC486" s="198"/>
      <c r="AD486" s="198"/>
      <c r="AE486" s="198"/>
      <c r="AF486" s="198"/>
      <c r="AG486" s="198"/>
      <c r="AH486" s="198"/>
      <c r="AI486" s="198"/>
    </row>
    <row r="487" spans="24:35" ht="12">
      <c r="X487" s="198"/>
      <c r="Y487" s="198"/>
      <c r="Z487" s="198"/>
      <c r="AA487" s="198"/>
      <c r="AB487" s="198"/>
      <c r="AC487" s="198"/>
      <c r="AD487" s="198"/>
      <c r="AE487" s="198"/>
      <c r="AF487" s="198"/>
      <c r="AG487" s="198"/>
      <c r="AH487" s="198"/>
      <c r="AI487" s="198"/>
    </row>
    <row r="488" spans="24:35" ht="12">
      <c r="X488" s="198"/>
      <c r="Y488" s="198"/>
      <c r="Z488" s="198"/>
      <c r="AA488" s="198"/>
      <c r="AB488" s="198"/>
      <c r="AC488" s="198"/>
      <c r="AD488" s="198"/>
      <c r="AE488" s="198"/>
      <c r="AF488" s="198"/>
      <c r="AG488" s="198"/>
      <c r="AH488" s="198"/>
      <c r="AI488" s="198"/>
    </row>
    <row r="489" spans="24:35" ht="12">
      <c r="X489" s="198"/>
      <c r="Y489" s="198"/>
      <c r="Z489" s="198"/>
      <c r="AA489" s="198"/>
      <c r="AB489" s="198"/>
      <c r="AC489" s="198"/>
      <c r="AD489" s="198"/>
      <c r="AE489" s="198"/>
      <c r="AF489" s="198"/>
      <c r="AG489" s="198"/>
      <c r="AH489" s="198"/>
      <c r="AI489" s="198"/>
    </row>
    <row r="490" spans="24:35" ht="12">
      <c r="X490" s="198"/>
      <c r="Y490" s="198"/>
      <c r="Z490" s="198"/>
      <c r="AA490" s="198"/>
      <c r="AB490" s="198"/>
      <c r="AC490" s="198"/>
      <c r="AD490" s="198"/>
      <c r="AE490" s="198"/>
      <c r="AF490" s="198"/>
      <c r="AG490" s="198"/>
      <c r="AH490" s="198"/>
      <c r="AI490" s="198"/>
    </row>
    <row r="491" spans="24:35" ht="12">
      <c r="X491" s="198"/>
      <c r="Y491" s="198"/>
      <c r="Z491" s="198"/>
      <c r="AA491" s="198"/>
      <c r="AB491" s="198"/>
      <c r="AC491" s="198"/>
      <c r="AD491" s="198"/>
      <c r="AE491" s="198"/>
      <c r="AF491" s="198"/>
      <c r="AG491" s="198"/>
      <c r="AH491" s="198"/>
      <c r="AI491" s="198"/>
    </row>
    <row r="492" spans="24:35" ht="12">
      <c r="X492" s="198"/>
      <c r="Y492" s="198"/>
      <c r="Z492" s="198"/>
      <c r="AA492" s="198"/>
      <c r="AB492" s="198"/>
      <c r="AC492" s="198"/>
      <c r="AD492" s="198"/>
      <c r="AE492" s="198"/>
      <c r="AF492" s="198"/>
      <c r="AG492" s="198"/>
      <c r="AH492" s="198"/>
      <c r="AI492" s="198"/>
    </row>
    <row r="493" spans="24:35" ht="12">
      <c r="X493" s="198"/>
      <c r="Y493" s="198"/>
      <c r="Z493" s="198"/>
      <c r="AA493" s="198"/>
      <c r="AB493" s="198"/>
      <c r="AC493" s="198"/>
      <c r="AD493" s="198"/>
      <c r="AE493" s="198"/>
      <c r="AF493" s="198"/>
      <c r="AG493" s="198"/>
      <c r="AH493" s="198"/>
      <c r="AI493" s="198"/>
    </row>
    <row r="494" spans="24:35" ht="12">
      <c r="X494" s="198"/>
      <c r="Y494" s="198"/>
      <c r="Z494" s="198"/>
      <c r="AA494" s="198"/>
      <c r="AB494" s="198"/>
      <c r="AC494" s="198"/>
      <c r="AD494" s="198"/>
      <c r="AE494" s="198"/>
      <c r="AF494" s="198"/>
      <c r="AG494" s="198"/>
      <c r="AH494" s="198"/>
      <c r="AI494" s="198"/>
    </row>
    <row r="495" spans="24:35" ht="12">
      <c r="X495" s="198"/>
      <c r="Y495" s="198"/>
      <c r="Z495" s="198"/>
      <c r="AA495" s="198"/>
      <c r="AB495" s="198"/>
      <c r="AC495" s="198"/>
      <c r="AD495" s="198"/>
      <c r="AE495" s="198"/>
      <c r="AF495" s="198"/>
      <c r="AG495" s="198"/>
      <c r="AH495" s="198"/>
      <c r="AI495" s="198"/>
    </row>
    <row r="496" spans="24:35" ht="12">
      <c r="X496" s="198"/>
      <c r="Y496" s="198"/>
      <c r="Z496" s="198"/>
      <c r="AA496" s="198"/>
      <c r="AB496" s="198"/>
      <c r="AC496" s="198"/>
      <c r="AD496" s="198"/>
      <c r="AE496" s="198"/>
      <c r="AF496" s="198"/>
      <c r="AG496" s="198"/>
      <c r="AH496" s="198"/>
      <c r="AI496" s="198"/>
    </row>
    <row r="497" spans="24:35" ht="12">
      <c r="X497" s="198"/>
      <c r="Y497" s="198"/>
      <c r="Z497" s="198"/>
      <c r="AA497" s="198"/>
      <c r="AB497" s="198"/>
      <c r="AC497" s="198"/>
      <c r="AD497" s="198"/>
      <c r="AE497" s="198"/>
      <c r="AF497" s="198"/>
      <c r="AG497" s="198"/>
      <c r="AH497" s="198"/>
      <c r="AI497" s="198"/>
    </row>
    <row r="498" spans="24:35" ht="12">
      <c r="X498" s="198"/>
      <c r="Y498" s="198"/>
      <c r="Z498" s="198"/>
      <c r="AA498" s="198"/>
      <c r="AB498" s="198"/>
      <c r="AC498" s="198"/>
      <c r="AD498" s="198"/>
      <c r="AE498" s="198"/>
      <c r="AF498" s="198"/>
      <c r="AG498" s="198"/>
      <c r="AH498" s="198"/>
      <c r="AI498" s="198"/>
    </row>
    <row r="499" spans="24:35" ht="12">
      <c r="X499" s="198"/>
      <c r="Y499" s="198"/>
      <c r="Z499" s="198"/>
      <c r="AA499" s="198"/>
      <c r="AB499" s="198"/>
      <c r="AC499" s="198"/>
      <c r="AD499" s="198"/>
      <c r="AE499" s="198"/>
      <c r="AF499" s="198"/>
      <c r="AG499" s="198"/>
      <c r="AH499" s="198"/>
      <c r="AI499" s="198"/>
    </row>
    <row r="500" spans="24:35" ht="12">
      <c r="X500" s="198"/>
      <c r="Y500" s="198"/>
      <c r="Z500" s="198"/>
      <c r="AA500" s="198"/>
      <c r="AB500" s="198"/>
      <c r="AC500" s="198"/>
      <c r="AD500" s="198"/>
      <c r="AE500" s="198"/>
      <c r="AF500" s="198"/>
      <c r="AG500" s="198"/>
      <c r="AH500" s="198"/>
      <c r="AI500" s="198"/>
    </row>
    <row r="501" spans="24:35" ht="12">
      <c r="X501" s="198"/>
      <c r="Y501" s="198"/>
      <c r="Z501" s="198"/>
      <c r="AA501" s="198"/>
      <c r="AB501" s="198"/>
      <c r="AC501" s="198"/>
      <c r="AD501" s="198"/>
      <c r="AE501" s="198"/>
      <c r="AF501" s="198"/>
      <c r="AG501" s="198"/>
      <c r="AH501" s="198"/>
      <c r="AI501" s="198"/>
    </row>
    <row r="502" spans="24:35" ht="12">
      <c r="X502" s="198"/>
      <c r="Y502" s="198"/>
      <c r="Z502" s="198"/>
      <c r="AA502" s="198"/>
      <c r="AB502" s="198"/>
      <c r="AC502" s="198"/>
      <c r="AD502" s="198"/>
      <c r="AE502" s="198"/>
      <c r="AF502" s="198"/>
      <c r="AG502" s="198"/>
      <c r="AH502" s="198"/>
      <c r="AI502" s="198"/>
    </row>
    <row r="503" spans="24:35" ht="12">
      <c r="X503" s="198"/>
      <c r="Y503" s="198"/>
      <c r="Z503" s="198"/>
      <c r="AA503" s="198"/>
      <c r="AB503" s="198"/>
      <c r="AC503" s="198"/>
      <c r="AD503" s="198"/>
      <c r="AE503" s="198"/>
      <c r="AF503" s="198"/>
      <c r="AG503" s="198"/>
      <c r="AH503" s="198"/>
      <c r="AI503" s="198"/>
    </row>
    <row r="504" spans="24:35" ht="12">
      <c r="X504" s="198"/>
      <c r="Y504" s="198"/>
      <c r="Z504" s="198"/>
      <c r="AA504" s="198"/>
      <c r="AB504" s="198"/>
      <c r="AC504" s="198"/>
      <c r="AD504" s="198"/>
      <c r="AE504" s="198"/>
      <c r="AF504" s="198"/>
      <c r="AG504" s="198"/>
      <c r="AH504" s="198"/>
      <c r="AI504" s="198"/>
    </row>
    <row r="505" spans="24:35" ht="12">
      <c r="X505" s="198"/>
      <c r="Y505" s="198"/>
      <c r="Z505" s="198"/>
      <c r="AA505" s="198"/>
      <c r="AB505" s="198"/>
      <c r="AC505" s="198"/>
      <c r="AD505" s="198"/>
      <c r="AE505" s="198"/>
      <c r="AF505" s="198"/>
      <c r="AG505" s="198"/>
      <c r="AH505" s="198"/>
      <c r="AI505" s="198"/>
    </row>
    <row r="506" spans="24:35" ht="12">
      <c r="X506" s="198"/>
      <c r="Y506" s="198"/>
      <c r="Z506" s="198"/>
      <c r="AA506" s="198"/>
      <c r="AB506" s="198"/>
      <c r="AC506" s="198"/>
      <c r="AD506" s="198"/>
      <c r="AE506" s="198"/>
      <c r="AF506" s="198"/>
      <c r="AG506" s="198"/>
      <c r="AH506" s="198"/>
      <c r="AI506" s="198"/>
    </row>
    <row r="507" spans="24:35" ht="12">
      <c r="X507" s="198"/>
      <c r="Y507" s="198"/>
      <c r="Z507" s="198"/>
      <c r="AA507" s="198"/>
      <c r="AB507" s="198"/>
      <c r="AC507" s="198"/>
      <c r="AD507" s="198"/>
      <c r="AE507" s="198"/>
      <c r="AF507" s="198"/>
      <c r="AG507" s="198"/>
      <c r="AH507" s="198"/>
      <c r="AI507" s="198"/>
    </row>
    <row r="508" spans="24:35" ht="12">
      <c r="X508" s="198"/>
      <c r="Y508" s="198"/>
      <c r="Z508" s="198"/>
      <c r="AA508" s="198"/>
      <c r="AB508" s="198"/>
      <c r="AC508" s="198"/>
      <c r="AD508" s="198"/>
      <c r="AE508" s="198"/>
      <c r="AF508" s="198"/>
      <c r="AG508" s="198"/>
      <c r="AH508" s="198"/>
      <c r="AI508" s="198"/>
    </row>
    <row r="509" spans="24:35" ht="12">
      <c r="X509" s="198"/>
      <c r="Y509" s="198"/>
      <c r="Z509" s="198"/>
      <c r="AA509" s="198"/>
      <c r="AB509" s="198"/>
      <c r="AC509" s="198"/>
      <c r="AD509" s="198"/>
      <c r="AE509" s="198"/>
      <c r="AF509" s="198"/>
      <c r="AG509" s="198"/>
      <c r="AH509" s="198"/>
      <c r="AI509" s="198"/>
    </row>
    <row r="510" spans="24:35" ht="12">
      <c r="X510" s="198"/>
      <c r="Y510" s="198"/>
      <c r="Z510" s="198"/>
      <c r="AA510" s="198"/>
      <c r="AB510" s="198"/>
      <c r="AC510" s="198"/>
      <c r="AD510" s="198"/>
      <c r="AE510" s="198"/>
      <c r="AF510" s="198"/>
      <c r="AG510" s="198"/>
      <c r="AH510" s="198"/>
      <c r="AI510" s="198"/>
    </row>
    <row r="511" spans="24:35" ht="12">
      <c r="X511" s="198"/>
      <c r="Y511" s="198"/>
      <c r="Z511" s="198"/>
      <c r="AA511" s="198"/>
      <c r="AB511" s="198"/>
      <c r="AC511" s="198"/>
      <c r="AD511" s="198"/>
      <c r="AE511" s="198"/>
      <c r="AF511" s="198"/>
      <c r="AG511" s="198"/>
      <c r="AH511" s="198"/>
      <c r="AI511" s="198"/>
    </row>
    <row r="512" spans="24:35" ht="12">
      <c r="X512" s="198"/>
      <c r="Y512" s="198"/>
      <c r="Z512" s="198"/>
      <c r="AA512" s="198"/>
      <c r="AB512" s="198"/>
      <c r="AC512" s="198"/>
      <c r="AD512" s="198"/>
      <c r="AE512" s="198"/>
      <c r="AF512" s="198"/>
      <c r="AG512" s="198"/>
      <c r="AH512" s="198"/>
      <c r="AI512" s="198"/>
    </row>
    <row r="513" spans="24:35" ht="12">
      <c r="X513" s="198"/>
      <c r="Y513" s="198"/>
      <c r="Z513" s="198"/>
      <c r="AA513" s="198"/>
      <c r="AB513" s="198"/>
      <c r="AC513" s="198"/>
      <c r="AD513" s="198"/>
      <c r="AE513" s="198"/>
      <c r="AF513" s="198"/>
      <c r="AG513" s="198"/>
      <c r="AH513" s="198"/>
      <c r="AI513" s="198"/>
    </row>
    <row r="514" spans="24:35" ht="12">
      <c r="X514" s="198"/>
      <c r="Y514" s="198"/>
      <c r="Z514" s="198"/>
      <c r="AA514" s="198"/>
      <c r="AB514" s="198"/>
      <c r="AC514" s="198"/>
      <c r="AD514" s="198"/>
      <c r="AE514" s="198"/>
      <c r="AF514" s="198"/>
      <c r="AG514" s="198"/>
      <c r="AH514" s="198"/>
      <c r="AI514" s="198"/>
    </row>
    <row r="515" spans="24:35" ht="12">
      <c r="X515" s="198"/>
      <c r="Y515" s="198"/>
      <c r="Z515" s="198"/>
      <c r="AA515" s="198"/>
      <c r="AB515" s="198"/>
      <c r="AC515" s="198"/>
      <c r="AD515" s="198"/>
      <c r="AE515" s="198"/>
      <c r="AF515" s="198"/>
      <c r="AG515" s="198"/>
      <c r="AH515" s="198"/>
      <c r="AI515" s="198"/>
    </row>
    <row r="516" spans="24:35" ht="12">
      <c r="X516" s="198"/>
      <c r="Y516" s="198"/>
      <c r="Z516" s="198"/>
      <c r="AA516" s="198"/>
      <c r="AB516" s="198"/>
      <c r="AC516" s="198"/>
      <c r="AD516" s="198"/>
      <c r="AE516" s="198"/>
      <c r="AF516" s="198"/>
      <c r="AG516" s="198"/>
      <c r="AH516" s="198"/>
      <c r="AI516" s="198"/>
    </row>
    <row r="517" spans="24:35" ht="12">
      <c r="X517" s="198"/>
      <c r="Y517" s="198"/>
      <c r="Z517" s="198"/>
      <c r="AA517" s="198"/>
      <c r="AB517" s="198"/>
      <c r="AC517" s="198"/>
      <c r="AD517" s="198"/>
      <c r="AE517" s="198"/>
      <c r="AF517" s="198"/>
      <c r="AG517" s="198"/>
      <c r="AH517" s="198"/>
      <c r="AI517" s="198"/>
    </row>
    <row r="518" spans="24:35" ht="12">
      <c r="X518" s="198"/>
      <c r="Y518" s="198"/>
      <c r="Z518" s="198"/>
      <c r="AA518" s="198"/>
      <c r="AB518" s="198"/>
      <c r="AC518" s="198"/>
      <c r="AD518" s="198"/>
      <c r="AE518" s="198"/>
      <c r="AF518" s="198"/>
      <c r="AG518" s="198"/>
      <c r="AH518" s="198"/>
      <c r="AI518" s="198"/>
    </row>
    <row r="519" spans="24:35" ht="12">
      <c r="X519" s="198"/>
      <c r="Y519" s="198"/>
      <c r="Z519" s="198"/>
      <c r="AA519" s="198"/>
      <c r="AB519" s="198"/>
      <c r="AC519" s="198"/>
      <c r="AD519" s="198"/>
      <c r="AE519" s="198"/>
      <c r="AF519" s="198"/>
      <c r="AG519" s="198"/>
      <c r="AH519" s="198"/>
      <c r="AI519" s="198"/>
    </row>
    <row r="520" spans="24:35" ht="12">
      <c r="X520" s="198"/>
      <c r="Y520" s="198"/>
      <c r="Z520" s="198"/>
      <c r="AA520" s="198"/>
      <c r="AB520" s="198"/>
      <c r="AC520" s="198"/>
      <c r="AD520" s="198"/>
      <c r="AE520" s="198"/>
      <c r="AF520" s="198"/>
      <c r="AG520" s="198"/>
      <c r="AH520" s="198"/>
      <c r="AI520" s="198"/>
    </row>
    <row r="521" spans="24:35" ht="12">
      <c r="X521" s="198"/>
      <c r="Y521" s="198"/>
      <c r="Z521" s="198"/>
      <c r="AA521" s="198"/>
      <c r="AB521" s="198"/>
      <c r="AC521" s="198"/>
      <c r="AD521" s="198"/>
      <c r="AE521" s="198"/>
      <c r="AF521" s="198"/>
      <c r="AG521" s="198"/>
      <c r="AH521" s="198"/>
      <c r="AI521" s="198"/>
    </row>
    <row r="522" spans="24:35" ht="12">
      <c r="X522" s="198"/>
      <c r="Y522" s="198"/>
      <c r="Z522" s="198"/>
      <c r="AA522" s="198"/>
      <c r="AB522" s="198"/>
      <c r="AC522" s="198"/>
      <c r="AD522" s="198"/>
      <c r="AE522" s="198"/>
      <c r="AF522" s="198"/>
      <c r="AG522" s="198"/>
      <c r="AH522" s="198"/>
      <c r="AI522" s="198"/>
    </row>
    <row r="523" spans="24:35" ht="12">
      <c r="X523" s="198"/>
      <c r="Y523" s="198"/>
      <c r="Z523" s="198"/>
      <c r="AA523" s="198"/>
      <c r="AB523" s="198"/>
      <c r="AC523" s="198"/>
      <c r="AD523" s="198"/>
      <c r="AE523" s="198"/>
      <c r="AF523" s="198"/>
      <c r="AG523" s="198"/>
      <c r="AH523" s="198"/>
      <c r="AI523" s="198"/>
    </row>
    <row r="524" spans="24:35" ht="12">
      <c r="X524" s="198"/>
      <c r="Y524" s="198"/>
      <c r="Z524" s="198"/>
      <c r="AA524" s="198"/>
      <c r="AB524" s="198"/>
      <c r="AC524" s="198"/>
      <c r="AD524" s="198"/>
      <c r="AE524" s="198"/>
      <c r="AF524" s="198"/>
      <c r="AG524" s="198"/>
      <c r="AH524" s="198"/>
      <c r="AI524" s="198"/>
    </row>
    <row r="525" spans="24:35" ht="12">
      <c r="X525" s="198"/>
      <c r="Y525" s="198"/>
      <c r="Z525" s="198"/>
      <c r="AA525" s="198"/>
      <c r="AB525" s="198"/>
      <c r="AC525" s="198"/>
      <c r="AD525" s="198"/>
      <c r="AE525" s="198"/>
      <c r="AF525" s="198"/>
      <c r="AG525" s="198"/>
      <c r="AH525" s="198"/>
      <c r="AI525" s="198"/>
    </row>
    <row r="526" spans="24:35" ht="12">
      <c r="X526" s="198"/>
      <c r="Y526" s="198"/>
      <c r="Z526" s="198"/>
      <c r="AA526" s="198"/>
      <c r="AB526" s="198"/>
      <c r="AC526" s="198"/>
      <c r="AD526" s="198"/>
      <c r="AE526" s="198"/>
      <c r="AF526" s="198"/>
      <c r="AG526" s="198"/>
      <c r="AH526" s="198"/>
      <c r="AI526" s="198"/>
    </row>
    <row r="527" spans="24:35" ht="12">
      <c r="X527" s="198"/>
      <c r="Y527" s="198"/>
      <c r="Z527" s="198"/>
      <c r="AA527" s="198"/>
      <c r="AB527" s="198"/>
      <c r="AC527" s="198"/>
      <c r="AD527" s="198"/>
      <c r="AE527" s="198"/>
      <c r="AF527" s="198"/>
      <c r="AG527" s="198"/>
      <c r="AH527" s="198"/>
      <c r="AI527" s="198"/>
    </row>
    <row r="528" spans="24:35" ht="12">
      <c r="X528" s="198"/>
      <c r="Y528" s="198"/>
      <c r="Z528" s="198"/>
      <c r="AA528" s="198"/>
      <c r="AB528" s="198"/>
      <c r="AC528" s="198"/>
      <c r="AD528" s="198"/>
      <c r="AE528" s="198"/>
      <c r="AF528" s="198"/>
      <c r="AG528" s="198"/>
      <c r="AH528" s="198"/>
      <c r="AI528" s="198"/>
    </row>
    <row r="529" spans="24:35" ht="12">
      <c r="X529" s="198"/>
      <c r="Y529" s="198"/>
      <c r="Z529" s="198"/>
      <c r="AA529" s="198"/>
      <c r="AB529" s="198"/>
      <c r="AC529" s="198"/>
      <c r="AD529" s="198"/>
      <c r="AE529" s="198"/>
      <c r="AF529" s="198"/>
      <c r="AG529" s="198"/>
      <c r="AH529" s="198"/>
      <c r="AI529" s="198"/>
    </row>
    <row r="530" spans="24:35" ht="12">
      <c r="X530" s="198"/>
      <c r="Y530" s="198"/>
      <c r="Z530" s="198"/>
      <c r="AA530" s="198"/>
      <c r="AB530" s="198"/>
      <c r="AC530" s="198"/>
      <c r="AD530" s="198"/>
      <c r="AE530" s="198"/>
      <c r="AF530" s="198"/>
      <c r="AG530" s="198"/>
      <c r="AH530" s="198"/>
      <c r="AI530" s="198"/>
    </row>
    <row r="531" spans="24:35" ht="12">
      <c r="X531" s="198"/>
      <c r="Y531" s="198"/>
      <c r="Z531" s="198"/>
      <c r="AA531" s="198"/>
      <c r="AB531" s="198"/>
      <c r="AC531" s="198"/>
      <c r="AD531" s="198"/>
      <c r="AE531" s="198"/>
      <c r="AF531" s="198"/>
      <c r="AG531" s="198"/>
      <c r="AH531" s="198"/>
      <c r="AI531" s="198"/>
    </row>
    <row r="532" spans="24:35" ht="12">
      <c r="X532" s="198"/>
      <c r="Y532" s="198"/>
      <c r="Z532" s="198"/>
      <c r="AA532" s="198"/>
      <c r="AB532" s="198"/>
      <c r="AC532" s="198"/>
      <c r="AD532" s="198"/>
      <c r="AE532" s="198"/>
      <c r="AF532" s="198"/>
      <c r="AG532" s="198"/>
      <c r="AH532" s="198"/>
      <c r="AI532" s="198"/>
    </row>
    <row r="533" spans="24:35" ht="12">
      <c r="X533" s="198"/>
      <c r="Y533" s="198"/>
      <c r="Z533" s="198"/>
      <c r="AA533" s="198"/>
      <c r="AB533" s="198"/>
      <c r="AC533" s="198"/>
      <c r="AD533" s="198"/>
      <c r="AE533" s="198"/>
      <c r="AF533" s="198"/>
      <c r="AG533" s="198"/>
      <c r="AH533" s="198"/>
      <c r="AI533" s="198"/>
    </row>
    <row r="534" spans="24:35" ht="12">
      <c r="X534" s="198"/>
      <c r="Y534" s="198"/>
      <c r="Z534" s="198"/>
      <c r="AA534" s="198"/>
      <c r="AB534" s="198"/>
      <c r="AC534" s="198"/>
      <c r="AD534" s="198"/>
      <c r="AE534" s="198"/>
      <c r="AF534" s="198"/>
      <c r="AG534" s="198"/>
      <c r="AH534" s="198"/>
      <c r="AI534" s="198"/>
    </row>
    <row r="535" spans="24:35" ht="12">
      <c r="X535" s="198"/>
      <c r="Y535" s="198"/>
      <c r="Z535" s="198"/>
      <c r="AA535" s="198"/>
      <c r="AB535" s="198"/>
      <c r="AC535" s="198"/>
      <c r="AD535" s="198"/>
      <c r="AE535" s="198"/>
      <c r="AF535" s="198"/>
      <c r="AG535" s="198"/>
      <c r="AH535" s="198"/>
      <c r="AI535" s="198"/>
    </row>
    <row r="536" spans="24:35" ht="12">
      <c r="X536" s="198"/>
      <c r="Y536" s="198"/>
      <c r="Z536" s="198"/>
      <c r="AA536" s="198"/>
      <c r="AB536" s="198"/>
      <c r="AC536" s="198"/>
      <c r="AD536" s="198"/>
      <c r="AE536" s="198"/>
      <c r="AF536" s="198"/>
      <c r="AG536" s="198"/>
      <c r="AH536" s="198"/>
      <c r="AI536" s="198"/>
    </row>
    <row r="537" spans="24:35" ht="12">
      <c r="X537" s="198"/>
      <c r="Y537" s="198"/>
      <c r="Z537" s="198"/>
      <c r="AA537" s="198"/>
      <c r="AB537" s="198"/>
      <c r="AC537" s="198"/>
      <c r="AD537" s="198"/>
      <c r="AE537" s="198"/>
      <c r="AF537" s="198"/>
      <c r="AG537" s="198"/>
      <c r="AH537" s="198"/>
      <c r="AI537" s="198"/>
    </row>
    <row r="538" spans="24:35" ht="12">
      <c r="X538" s="198"/>
      <c r="Y538" s="198"/>
      <c r="Z538" s="198"/>
      <c r="AA538" s="198"/>
      <c r="AB538" s="198"/>
      <c r="AC538" s="198"/>
      <c r="AD538" s="198"/>
      <c r="AE538" s="198"/>
      <c r="AF538" s="198"/>
      <c r="AG538" s="198"/>
      <c r="AH538" s="198"/>
      <c r="AI538" s="198"/>
    </row>
    <row r="539" spans="24:35" ht="12">
      <c r="X539" s="198"/>
      <c r="Y539" s="198"/>
      <c r="Z539" s="198"/>
      <c r="AA539" s="198"/>
      <c r="AB539" s="198"/>
      <c r="AC539" s="198"/>
      <c r="AD539" s="198"/>
      <c r="AE539" s="198"/>
      <c r="AF539" s="198"/>
      <c r="AG539" s="198"/>
      <c r="AH539" s="198"/>
      <c r="AI539" s="198"/>
    </row>
    <row r="540" spans="24:35" ht="12">
      <c r="X540" s="198"/>
      <c r="Y540" s="198"/>
      <c r="Z540" s="198"/>
      <c r="AA540" s="198"/>
      <c r="AB540" s="198"/>
      <c r="AC540" s="198"/>
      <c r="AD540" s="198"/>
      <c r="AE540" s="198"/>
      <c r="AF540" s="198"/>
      <c r="AG540" s="198"/>
      <c r="AH540" s="198"/>
      <c r="AI540" s="198"/>
    </row>
    <row r="541" spans="24:35" ht="12">
      <c r="X541" s="198"/>
      <c r="Y541" s="198"/>
      <c r="Z541" s="198"/>
      <c r="AA541" s="198"/>
      <c r="AB541" s="198"/>
      <c r="AC541" s="198"/>
      <c r="AD541" s="198"/>
      <c r="AE541" s="198"/>
      <c r="AF541" s="198"/>
      <c r="AG541" s="198"/>
      <c r="AH541" s="198"/>
      <c r="AI541" s="198"/>
    </row>
    <row r="542" spans="24:35" ht="12">
      <c r="X542" s="198"/>
      <c r="Y542" s="198"/>
      <c r="Z542" s="198"/>
      <c r="AA542" s="198"/>
      <c r="AB542" s="198"/>
      <c r="AC542" s="198"/>
      <c r="AD542" s="198"/>
      <c r="AE542" s="198"/>
      <c r="AF542" s="198"/>
      <c r="AG542" s="198"/>
      <c r="AH542" s="198"/>
      <c r="AI542" s="198"/>
    </row>
    <row r="543" spans="24:35" ht="12">
      <c r="X543" s="198"/>
      <c r="Y543" s="198"/>
      <c r="Z543" s="198"/>
      <c r="AA543" s="198"/>
      <c r="AB543" s="198"/>
      <c r="AC543" s="198"/>
      <c r="AD543" s="198"/>
      <c r="AE543" s="198"/>
      <c r="AF543" s="198"/>
      <c r="AG543" s="198"/>
      <c r="AH543" s="198"/>
      <c r="AI543" s="198"/>
    </row>
    <row r="544" spans="24:35" ht="12">
      <c r="X544" s="198"/>
      <c r="Y544" s="198"/>
      <c r="Z544" s="198"/>
      <c r="AA544" s="198"/>
      <c r="AB544" s="198"/>
      <c r="AC544" s="198"/>
      <c r="AD544" s="198"/>
      <c r="AE544" s="198"/>
      <c r="AF544" s="198"/>
      <c r="AG544" s="198"/>
      <c r="AH544" s="198"/>
      <c r="AI544" s="198"/>
    </row>
    <row r="545" spans="24:35" ht="12">
      <c r="X545" s="198"/>
      <c r="Y545" s="198"/>
      <c r="Z545" s="198"/>
      <c r="AA545" s="198"/>
      <c r="AB545" s="198"/>
      <c r="AC545" s="198"/>
      <c r="AD545" s="198"/>
      <c r="AE545" s="198"/>
      <c r="AF545" s="198"/>
      <c r="AG545" s="198"/>
      <c r="AH545" s="198"/>
      <c r="AI545" s="198"/>
    </row>
    <row r="546" spans="24:35" ht="12">
      <c r="X546" s="198"/>
      <c r="Y546" s="198"/>
      <c r="Z546" s="198"/>
      <c r="AA546" s="198"/>
      <c r="AB546" s="198"/>
      <c r="AC546" s="198"/>
      <c r="AD546" s="198"/>
      <c r="AE546" s="198"/>
      <c r="AF546" s="198"/>
      <c r="AG546" s="198"/>
      <c r="AH546" s="198"/>
      <c r="AI546" s="198"/>
    </row>
    <row r="547" spans="24:35" ht="12">
      <c r="X547" s="198"/>
      <c r="Y547" s="198"/>
      <c r="Z547" s="198"/>
      <c r="AA547" s="198"/>
      <c r="AB547" s="198"/>
      <c r="AC547" s="198"/>
      <c r="AD547" s="198"/>
      <c r="AE547" s="198"/>
      <c r="AF547" s="198"/>
      <c r="AG547" s="198"/>
      <c r="AH547" s="198"/>
      <c r="AI547" s="198"/>
    </row>
    <row r="548" spans="24:35" ht="12">
      <c r="X548" s="198"/>
      <c r="Y548" s="198"/>
      <c r="Z548" s="198"/>
      <c r="AA548" s="198"/>
      <c r="AB548" s="198"/>
      <c r="AC548" s="198"/>
      <c r="AD548" s="198"/>
      <c r="AE548" s="198"/>
      <c r="AF548" s="198"/>
      <c r="AG548" s="198"/>
      <c r="AH548" s="198"/>
      <c r="AI548" s="198"/>
    </row>
    <row r="549" spans="24:35" ht="12">
      <c r="X549" s="198"/>
      <c r="Y549" s="198"/>
      <c r="Z549" s="198"/>
      <c r="AA549" s="198"/>
      <c r="AB549" s="198"/>
      <c r="AC549" s="198"/>
      <c r="AD549" s="198"/>
      <c r="AE549" s="198"/>
      <c r="AF549" s="198"/>
      <c r="AG549" s="198"/>
      <c r="AH549" s="198"/>
      <c r="AI549" s="198"/>
    </row>
    <row r="550" spans="24:35" ht="12">
      <c r="X550" s="198"/>
      <c r="Y550" s="198"/>
      <c r="Z550" s="198"/>
      <c r="AA550" s="198"/>
      <c r="AB550" s="198"/>
      <c r="AC550" s="198"/>
      <c r="AD550" s="198"/>
      <c r="AE550" s="198"/>
      <c r="AF550" s="198"/>
      <c r="AG550" s="198"/>
      <c r="AH550" s="198"/>
      <c r="AI550" s="198"/>
    </row>
    <row r="551" spans="24:35" ht="12">
      <c r="X551" s="198"/>
      <c r="Y551" s="198"/>
      <c r="Z551" s="198"/>
      <c r="AA551" s="198"/>
      <c r="AB551" s="198"/>
      <c r="AC551" s="198"/>
      <c r="AD551" s="198"/>
      <c r="AE551" s="198"/>
      <c r="AF551" s="198"/>
      <c r="AG551" s="198"/>
      <c r="AH551" s="198"/>
      <c r="AI551" s="198"/>
    </row>
    <row r="552" spans="24:35" ht="12">
      <c r="X552" s="198"/>
      <c r="Y552" s="198"/>
      <c r="Z552" s="198"/>
      <c r="AA552" s="198"/>
      <c r="AB552" s="198"/>
      <c r="AC552" s="198"/>
      <c r="AD552" s="198"/>
      <c r="AE552" s="198"/>
      <c r="AF552" s="198"/>
      <c r="AG552" s="198"/>
      <c r="AH552" s="198"/>
      <c r="AI552" s="198"/>
    </row>
    <row r="553" spans="24:35" ht="12">
      <c r="X553" s="198"/>
      <c r="Y553" s="198"/>
      <c r="Z553" s="198"/>
      <c r="AA553" s="198"/>
      <c r="AB553" s="198"/>
      <c r="AC553" s="198"/>
      <c r="AD553" s="198"/>
      <c r="AE553" s="198"/>
      <c r="AF553" s="198"/>
      <c r="AG553" s="198"/>
      <c r="AH553" s="198"/>
      <c r="AI553" s="198"/>
    </row>
    <row r="554" spans="24:35" ht="12">
      <c r="X554" s="198"/>
      <c r="Y554" s="198"/>
      <c r="Z554" s="198"/>
      <c r="AA554" s="198"/>
      <c r="AB554" s="198"/>
      <c r="AC554" s="198"/>
      <c r="AD554" s="198"/>
      <c r="AE554" s="198"/>
      <c r="AF554" s="198"/>
      <c r="AG554" s="198"/>
      <c r="AH554" s="198"/>
      <c r="AI554" s="198"/>
    </row>
    <row r="555" spans="24:35" ht="12">
      <c r="X555" s="198"/>
      <c r="Y555" s="198"/>
      <c r="Z555" s="198"/>
      <c r="AA555" s="198"/>
      <c r="AB555" s="198"/>
      <c r="AC555" s="198"/>
      <c r="AD555" s="198"/>
      <c r="AE555" s="198"/>
      <c r="AF555" s="198"/>
      <c r="AG555" s="198"/>
      <c r="AH555" s="198"/>
      <c r="AI555" s="198"/>
    </row>
    <row r="556" spans="24:35" ht="12">
      <c r="X556" s="198"/>
      <c r="Y556" s="198"/>
      <c r="Z556" s="198"/>
      <c r="AA556" s="198"/>
      <c r="AB556" s="198"/>
      <c r="AC556" s="198"/>
      <c r="AD556" s="198"/>
      <c r="AE556" s="198"/>
      <c r="AF556" s="198"/>
      <c r="AG556" s="198"/>
      <c r="AH556" s="198"/>
      <c r="AI556" s="198"/>
    </row>
    <row r="557" spans="24:35" ht="12">
      <c r="X557" s="198"/>
      <c r="Y557" s="198"/>
      <c r="Z557" s="198"/>
      <c r="AA557" s="198"/>
      <c r="AB557" s="198"/>
      <c r="AC557" s="198"/>
      <c r="AD557" s="198"/>
      <c r="AE557" s="198"/>
      <c r="AF557" s="198"/>
      <c r="AG557" s="198"/>
      <c r="AH557" s="198"/>
      <c r="AI557" s="198"/>
    </row>
    <row r="558" spans="24:35" ht="12">
      <c r="X558" s="198"/>
      <c r="Y558" s="198"/>
      <c r="Z558" s="198"/>
      <c r="AA558" s="198"/>
      <c r="AB558" s="198"/>
      <c r="AC558" s="198"/>
      <c r="AD558" s="198"/>
      <c r="AE558" s="198"/>
      <c r="AF558" s="198"/>
      <c r="AG558" s="198"/>
      <c r="AH558" s="198"/>
      <c r="AI558" s="198"/>
    </row>
    <row r="559" spans="24:35" ht="12">
      <c r="X559" s="198"/>
      <c r="Y559" s="198"/>
      <c r="Z559" s="198"/>
      <c r="AA559" s="198"/>
      <c r="AB559" s="198"/>
      <c r="AC559" s="198"/>
      <c r="AD559" s="198"/>
      <c r="AE559" s="198"/>
      <c r="AF559" s="198"/>
      <c r="AG559" s="198"/>
      <c r="AH559" s="198"/>
      <c r="AI559" s="198"/>
    </row>
    <row r="560" spans="24:35" ht="12">
      <c r="X560" s="198"/>
      <c r="Y560" s="198"/>
      <c r="Z560" s="198"/>
      <c r="AA560" s="198"/>
      <c r="AB560" s="198"/>
      <c r="AC560" s="198"/>
      <c r="AD560" s="198"/>
      <c r="AE560" s="198"/>
      <c r="AF560" s="198"/>
      <c r="AG560" s="198"/>
      <c r="AH560" s="198"/>
      <c r="AI560" s="198"/>
    </row>
    <row r="561" spans="24:35" ht="12">
      <c r="X561" s="198"/>
      <c r="Y561" s="198"/>
      <c r="Z561" s="198"/>
      <c r="AA561" s="198"/>
      <c r="AB561" s="198"/>
      <c r="AC561" s="198"/>
      <c r="AD561" s="198"/>
      <c r="AE561" s="198"/>
      <c r="AF561" s="198"/>
      <c r="AG561" s="198"/>
      <c r="AH561" s="198"/>
      <c r="AI561" s="198"/>
    </row>
    <row r="562" spans="24:35" ht="12">
      <c r="X562" s="198"/>
      <c r="Y562" s="198"/>
      <c r="Z562" s="198"/>
      <c r="AA562" s="198"/>
      <c r="AB562" s="198"/>
      <c r="AC562" s="198"/>
      <c r="AD562" s="198"/>
      <c r="AE562" s="198"/>
      <c r="AF562" s="198"/>
      <c r="AG562" s="198"/>
      <c r="AH562" s="198"/>
      <c r="AI562" s="198"/>
    </row>
    <row r="563" spans="24:35" ht="12">
      <c r="X563" s="198"/>
      <c r="Y563" s="198"/>
      <c r="Z563" s="198"/>
      <c r="AA563" s="198"/>
      <c r="AB563" s="198"/>
      <c r="AC563" s="198"/>
      <c r="AD563" s="198"/>
      <c r="AE563" s="198"/>
      <c r="AF563" s="198"/>
      <c r="AG563" s="198"/>
      <c r="AH563" s="198"/>
      <c r="AI563" s="198"/>
    </row>
    <row r="564" spans="24:35" ht="12">
      <c r="X564" s="198"/>
      <c r="Y564" s="198"/>
      <c r="Z564" s="198"/>
      <c r="AA564" s="198"/>
      <c r="AB564" s="198"/>
      <c r="AC564" s="198"/>
      <c r="AD564" s="198"/>
      <c r="AE564" s="198"/>
      <c r="AF564" s="198"/>
      <c r="AG564" s="198"/>
      <c r="AH564" s="198"/>
      <c r="AI564" s="198"/>
    </row>
    <row r="565" spans="24:35" ht="12">
      <c r="X565" s="198"/>
      <c r="Y565" s="198"/>
      <c r="Z565" s="198"/>
      <c r="AA565" s="198"/>
      <c r="AB565" s="198"/>
      <c r="AC565" s="198"/>
      <c r="AD565" s="198"/>
      <c r="AE565" s="198"/>
      <c r="AF565" s="198"/>
      <c r="AG565" s="198"/>
      <c r="AH565" s="198"/>
      <c r="AI565" s="198"/>
    </row>
    <row r="566" spans="24:35" ht="12">
      <c r="X566" s="198"/>
      <c r="Y566" s="198"/>
      <c r="Z566" s="198"/>
      <c r="AA566" s="198"/>
      <c r="AB566" s="198"/>
      <c r="AC566" s="198"/>
      <c r="AD566" s="198"/>
      <c r="AE566" s="198"/>
      <c r="AF566" s="198"/>
      <c r="AG566" s="198"/>
      <c r="AH566" s="198"/>
      <c r="AI566" s="198"/>
    </row>
    <row r="567" spans="24:35" ht="12">
      <c r="X567" s="198"/>
      <c r="Y567" s="198"/>
      <c r="Z567" s="198"/>
      <c r="AA567" s="198"/>
      <c r="AB567" s="198"/>
      <c r="AC567" s="198"/>
      <c r="AD567" s="198"/>
      <c r="AE567" s="198"/>
      <c r="AF567" s="198"/>
      <c r="AG567" s="198"/>
      <c r="AH567" s="198"/>
      <c r="AI567" s="198"/>
    </row>
    <row r="568" spans="24:35" ht="12">
      <c r="X568" s="198"/>
      <c r="Y568" s="198"/>
      <c r="Z568" s="198"/>
      <c r="AA568" s="198"/>
      <c r="AB568" s="198"/>
      <c r="AC568" s="198"/>
      <c r="AD568" s="198"/>
      <c r="AE568" s="198"/>
      <c r="AF568" s="198"/>
      <c r="AG568" s="198"/>
      <c r="AH568" s="198"/>
      <c r="AI568" s="198"/>
    </row>
    <row r="569" spans="24:35" ht="12">
      <c r="X569" s="198"/>
      <c r="Y569" s="198"/>
      <c r="Z569" s="198"/>
      <c r="AA569" s="198"/>
      <c r="AB569" s="198"/>
      <c r="AC569" s="198"/>
      <c r="AD569" s="198"/>
      <c r="AE569" s="198"/>
      <c r="AF569" s="198"/>
      <c r="AG569" s="198"/>
      <c r="AH569" s="198"/>
      <c r="AI569" s="198"/>
    </row>
    <row r="570" spans="24:35" ht="12">
      <c r="X570" s="198"/>
      <c r="Y570" s="198"/>
      <c r="Z570" s="198"/>
      <c r="AA570" s="198"/>
      <c r="AB570" s="198"/>
      <c r="AC570" s="198"/>
      <c r="AD570" s="198"/>
      <c r="AE570" s="198"/>
      <c r="AF570" s="198"/>
      <c r="AG570" s="198"/>
      <c r="AH570" s="198"/>
      <c r="AI570" s="198"/>
    </row>
    <row r="571" spans="24:35" ht="12">
      <c r="X571" s="198"/>
      <c r="Y571" s="198"/>
      <c r="Z571" s="198"/>
      <c r="AA571" s="198"/>
      <c r="AB571" s="198"/>
      <c r="AC571" s="198"/>
      <c r="AD571" s="198"/>
      <c r="AE571" s="198"/>
      <c r="AF571" s="198"/>
      <c r="AG571" s="198"/>
      <c r="AH571" s="198"/>
      <c r="AI571" s="198"/>
    </row>
    <row r="572" spans="24:35" ht="12">
      <c r="X572" s="198"/>
      <c r="Y572" s="198"/>
      <c r="Z572" s="198"/>
      <c r="AA572" s="198"/>
      <c r="AB572" s="198"/>
      <c r="AC572" s="198"/>
      <c r="AD572" s="198"/>
      <c r="AE572" s="198"/>
      <c r="AF572" s="198"/>
      <c r="AG572" s="198"/>
      <c r="AH572" s="198"/>
      <c r="AI572" s="198"/>
    </row>
    <row r="573" spans="24:35" ht="12">
      <c r="X573" s="198"/>
      <c r="Y573" s="198"/>
      <c r="Z573" s="198"/>
      <c r="AA573" s="198"/>
      <c r="AB573" s="198"/>
      <c r="AC573" s="198"/>
      <c r="AD573" s="198"/>
      <c r="AE573" s="198"/>
      <c r="AF573" s="198"/>
      <c r="AG573" s="198"/>
      <c r="AH573" s="198"/>
      <c r="AI573" s="198"/>
    </row>
    <row r="574" spans="24:35" ht="12">
      <c r="X574" s="198"/>
      <c r="Y574" s="198"/>
      <c r="Z574" s="198"/>
      <c r="AA574" s="198"/>
      <c r="AB574" s="198"/>
      <c r="AC574" s="198"/>
      <c r="AD574" s="198"/>
      <c r="AE574" s="198"/>
      <c r="AF574" s="198"/>
      <c r="AG574" s="198"/>
      <c r="AH574" s="198"/>
      <c r="AI574" s="198"/>
    </row>
    <row r="575" spans="24:35" ht="12">
      <c r="X575" s="198"/>
      <c r="Y575" s="198"/>
      <c r="Z575" s="198"/>
      <c r="AA575" s="198"/>
      <c r="AB575" s="198"/>
      <c r="AC575" s="198"/>
      <c r="AD575" s="198"/>
      <c r="AE575" s="198"/>
      <c r="AF575" s="198"/>
      <c r="AG575" s="198"/>
      <c r="AH575" s="198"/>
      <c r="AI575" s="198"/>
    </row>
    <row r="576" spans="24:35" ht="12">
      <c r="X576" s="198"/>
      <c r="Y576" s="198"/>
      <c r="Z576" s="198"/>
      <c r="AA576" s="198"/>
      <c r="AB576" s="198"/>
      <c r="AC576" s="198"/>
      <c r="AD576" s="198"/>
      <c r="AE576" s="198"/>
      <c r="AF576" s="198"/>
      <c r="AG576" s="198"/>
      <c r="AH576" s="198"/>
      <c r="AI576" s="198"/>
    </row>
    <row r="577" spans="24:35" ht="12">
      <c r="X577" s="198"/>
      <c r="Y577" s="198"/>
      <c r="Z577" s="198"/>
      <c r="AA577" s="198"/>
      <c r="AB577" s="198"/>
      <c r="AC577" s="198"/>
      <c r="AD577" s="198"/>
      <c r="AE577" s="198"/>
      <c r="AF577" s="198"/>
      <c r="AG577" s="198"/>
      <c r="AH577" s="198"/>
      <c r="AI577" s="198"/>
    </row>
    <row r="578" spans="24:35" ht="12">
      <c r="X578" s="198"/>
      <c r="Y578" s="198"/>
      <c r="Z578" s="198"/>
      <c r="AA578" s="198"/>
      <c r="AB578" s="198"/>
      <c r="AC578" s="198"/>
      <c r="AD578" s="198"/>
      <c r="AE578" s="198"/>
      <c r="AF578" s="198"/>
      <c r="AG578" s="198"/>
      <c r="AH578" s="198"/>
      <c r="AI578" s="198"/>
    </row>
    <row r="579" spans="24:35" ht="12">
      <c r="X579" s="198"/>
      <c r="Y579" s="198"/>
      <c r="Z579" s="198"/>
      <c r="AA579" s="198"/>
      <c r="AB579" s="198"/>
      <c r="AC579" s="198"/>
      <c r="AD579" s="198"/>
      <c r="AE579" s="198"/>
      <c r="AF579" s="198"/>
      <c r="AG579" s="198"/>
      <c r="AH579" s="198"/>
      <c r="AI579" s="198"/>
    </row>
    <row r="580" spans="24:35" ht="12">
      <c r="X580" s="198"/>
      <c r="Y580" s="198"/>
      <c r="Z580" s="198"/>
      <c r="AA580" s="198"/>
      <c r="AB580" s="198"/>
      <c r="AC580" s="198"/>
      <c r="AD580" s="198"/>
      <c r="AE580" s="198"/>
      <c r="AF580" s="198"/>
      <c r="AG580" s="198"/>
      <c r="AH580" s="198"/>
      <c r="AI580" s="198"/>
    </row>
    <row r="581" spans="24:35" ht="12">
      <c r="X581" s="198"/>
      <c r="Y581" s="198"/>
      <c r="Z581" s="198"/>
      <c r="AA581" s="198"/>
      <c r="AB581" s="198"/>
      <c r="AC581" s="198"/>
      <c r="AD581" s="198"/>
      <c r="AE581" s="198"/>
      <c r="AF581" s="198"/>
      <c r="AG581" s="198"/>
      <c r="AH581" s="198"/>
      <c r="AI581" s="198"/>
    </row>
    <row r="582" spans="24:35" ht="12">
      <c r="X582" s="198"/>
      <c r="Y582" s="198"/>
      <c r="Z582" s="198"/>
      <c r="AA582" s="198"/>
      <c r="AB582" s="198"/>
      <c r="AC582" s="198"/>
      <c r="AD582" s="198"/>
      <c r="AE582" s="198"/>
      <c r="AF582" s="198"/>
      <c r="AG582" s="198"/>
      <c r="AH582" s="198"/>
      <c r="AI582" s="198"/>
    </row>
    <row r="583" spans="24:35" ht="12">
      <c r="X583" s="198"/>
      <c r="Y583" s="198"/>
      <c r="Z583" s="198"/>
      <c r="AA583" s="198"/>
      <c r="AB583" s="198"/>
      <c r="AC583" s="198"/>
      <c r="AD583" s="198"/>
      <c r="AE583" s="198"/>
      <c r="AF583" s="198"/>
      <c r="AG583" s="198"/>
      <c r="AH583" s="198"/>
      <c r="AI583" s="198"/>
    </row>
    <row r="584" spans="24:35" ht="12">
      <c r="X584" s="198"/>
      <c r="Y584" s="198"/>
      <c r="Z584" s="198"/>
      <c r="AA584" s="198"/>
      <c r="AB584" s="198"/>
      <c r="AC584" s="198"/>
      <c r="AD584" s="198"/>
      <c r="AE584" s="198"/>
      <c r="AF584" s="198"/>
      <c r="AG584" s="198"/>
      <c r="AH584" s="198"/>
      <c r="AI584" s="198"/>
    </row>
    <row r="585" spans="24:35" ht="12">
      <c r="X585" s="198"/>
      <c r="Y585" s="198"/>
      <c r="Z585" s="198"/>
      <c r="AA585" s="198"/>
      <c r="AB585" s="198"/>
      <c r="AC585" s="198"/>
      <c r="AD585" s="198"/>
      <c r="AE585" s="198"/>
      <c r="AF585" s="198"/>
      <c r="AG585" s="198"/>
      <c r="AH585" s="198"/>
      <c r="AI585" s="198"/>
    </row>
    <row r="586" spans="24:35" ht="12">
      <c r="X586" s="198"/>
      <c r="Y586" s="198"/>
      <c r="Z586" s="198"/>
      <c r="AA586" s="198"/>
      <c r="AB586" s="198"/>
      <c r="AC586" s="198"/>
      <c r="AD586" s="198"/>
      <c r="AE586" s="198"/>
      <c r="AF586" s="198"/>
      <c r="AG586" s="198"/>
      <c r="AH586" s="198"/>
      <c r="AI586" s="198"/>
    </row>
    <row r="587" spans="24:35" ht="12">
      <c r="X587" s="198"/>
      <c r="Y587" s="198"/>
      <c r="Z587" s="198"/>
      <c r="AA587" s="198"/>
      <c r="AB587" s="198"/>
      <c r="AC587" s="198"/>
      <c r="AD587" s="198"/>
      <c r="AE587" s="198"/>
      <c r="AF587" s="198"/>
      <c r="AG587" s="198"/>
      <c r="AH587" s="198"/>
      <c r="AI587" s="198"/>
    </row>
    <row r="588" spans="24:35" ht="12">
      <c r="X588" s="198"/>
      <c r="Y588" s="198"/>
      <c r="Z588" s="198"/>
      <c r="AA588" s="198"/>
      <c r="AB588" s="198"/>
      <c r="AC588" s="198"/>
      <c r="AD588" s="198"/>
      <c r="AE588" s="198"/>
      <c r="AF588" s="198"/>
      <c r="AG588" s="198"/>
      <c r="AH588" s="198"/>
      <c r="AI588" s="198"/>
    </row>
    <row r="589" spans="24:35" ht="12">
      <c r="X589" s="198"/>
      <c r="Y589" s="198"/>
      <c r="Z589" s="198"/>
      <c r="AA589" s="198"/>
      <c r="AB589" s="198"/>
      <c r="AC589" s="198"/>
      <c r="AD589" s="198"/>
      <c r="AE589" s="198"/>
      <c r="AF589" s="198"/>
      <c r="AG589" s="198"/>
      <c r="AH589" s="198"/>
      <c r="AI589" s="198"/>
    </row>
    <row r="590" spans="24:35" ht="12">
      <c r="X590" s="198"/>
      <c r="Y590" s="198"/>
      <c r="Z590" s="198"/>
      <c r="AA590" s="198"/>
      <c r="AB590" s="198"/>
      <c r="AC590" s="198"/>
      <c r="AD590" s="198"/>
      <c r="AE590" s="198"/>
      <c r="AF590" s="198"/>
      <c r="AG590" s="198"/>
      <c r="AH590" s="198"/>
      <c r="AI590" s="198"/>
    </row>
    <row r="591" spans="24:35" ht="12">
      <c r="X591" s="198"/>
      <c r="Y591" s="198"/>
      <c r="Z591" s="198"/>
      <c r="AA591" s="198"/>
      <c r="AB591" s="198"/>
      <c r="AC591" s="198"/>
      <c r="AD591" s="198"/>
      <c r="AE591" s="198"/>
      <c r="AF591" s="198"/>
      <c r="AG591" s="198"/>
      <c r="AH591" s="198"/>
      <c r="AI591" s="198"/>
    </row>
    <row r="592" spans="24:35" ht="12">
      <c r="X592" s="198"/>
      <c r="Y592" s="198"/>
      <c r="Z592" s="198"/>
      <c r="AA592" s="198"/>
      <c r="AB592" s="198"/>
      <c r="AC592" s="198"/>
      <c r="AD592" s="198"/>
      <c r="AE592" s="198"/>
      <c r="AF592" s="198"/>
      <c r="AG592" s="198"/>
      <c r="AH592" s="198"/>
      <c r="AI592" s="198"/>
    </row>
    <row r="593" spans="24:35" ht="12">
      <c r="X593" s="198"/>
      <c r="Y593" s="198"/>
      <c r="Z593" s="198"/>
      <c r="AA593" s="198"/>
      <c r="AB593" s="198"/>
      <c r="AC593" s="198"/>
      <c r="AD593" s="198"/>
      <c r="AE593" s="198"/>
      <c r="AF593" s="198"/>
      <c r="AG593" s="198"/>
      <c r="AH593" s="198"/>
      <c r="AI593" s="198"/>
    </row>
    <row r="594" spans="24:35" ht="12">
      <c r="X594" s="198"/>
      <c r="Y594" s="198"/>
      <c r="Z594" s="198"/>
      <c r="AA594" s="198"/>
      <c r="AB594" s="198"/>
      <c r="AC594" s="198"/>
      <c r="AD594" s="198"/>
      <c r="AE594" s="198"/>
      <c r="AF594" s="198"/>
      <c r="AG594" s="198"/>
      <c r="AH594" s="198"/>
      <c r="AI594" s="198"/>
    </row>
    <row r="595" spans="24:35" ht="12">
      <c r="X595" s="198"/>
      <c r="Y595" s="198"/>
      <c r="Z595" s="198"/>
      <c r="AA595" s="198"/>
      <c r="AB595" s="198"/>
      <c r="AC595" s="198"/>
      <c r="AD595" s="198"/>
      <c r="AE595" s="198"/>
      <c r="AF595" s="198"/>
      <c r="AG595" s="198"/>
      <c r="AH595" s="198"/>
      <c r="AI595" s="198"/>
    </row>
    <row r="596" spans="24:35" ht="12">
      <c r="X596" s="198"/>
      <c r="Y596" s="198"/>
      <c r="Z596" s="198"/>
      <c r="AA596" s="198"/>
      <c r="AB596" s="198"/>
      <c r="AC596" s="198"/>
      <c r="AD596" s="198"/>
      <c r="AE596" s="198"/>
      <c r="AF596" s="198"/>
      <c r="AG596" s="198"/>
      <c r="AH596" s="198"/>
      <c r="AI596" s="198"/>
    </row>
    <row r="597" spans="24:35" ht="12">
      <c r="X597" s="198"/>
      <c r="Y597" s="198"/>
      <c r="Z597" s="198"/>
      <c r="AA597" s="198"/>
      <c r="AB597" s="198"/>
      <c r="AC597" s="198"/>
      <c r="AD597" s="198"/>
      <c r="AE597" s="198"/>
      <c r="AF597" s="198"/>
      <c r="AG597" s="198"/>
      <c r="AH597" s="198"/>
      <c r="AI597" s="198"/>
    </row>
    <row r="598" spans="24:35" ht="12">
      <c r="X598" s="198"/>
      <c r="Y598" s="198"/>
      <c r="Z598" s="198"/>
      <c r="AA598" s="198"/>
      <c r="AB598" s="198"/>
      <c r="AC598" s="198"/>
      <c r="AD598" s="198"/>
      <c r="AE598" s="198"/>
      <c r="AF598" s="198"/>
      <c r="AG598" s="198"/>
      <c r="AH598" s="198"/>
      <c r="AI598" s="198"/>
    </row>
    <row r="599" spans="24:35" ht="12">
      <c r="X599" s="198"/>
      <c r="Y599" s="198"/>
      <c r="Z599" s="198"/>
      <c r="AA599" s="198"/>
      <c r="AB599" s="198"/>
      <c r="AC599" s="198"/>
      <c r="AD599" s="198"/>
      <c r="AE599" s="198"/>
      <c r="AF599" s="198"/>
      <c r="AG599" s="198"/>
      <c r="AH599" s="198"/>
      <c r="AI599" s="198"/>
    </row>
    <row r="600" spans="24:35" ht="12">
      <c r="X600" s="198"/>
      <c r="Y600" s="198"/>
      <c r="Z600" s="198"/>
      <c r="AA600" s="198"/>
      <c r="AB600" s="198"/>
      <c r="AC600" s="198"/>
      <c r="AD600" s="198"/>
      <c r="AE600" s="198"/>
      <c r="AF600" s="198"/>
      <c r="AG600" s="198"/>
      <c r="AH600" s="198"/>
      <c r="AI600" s="198"/>
    </row>
    <row r="601" spans="24:35" ht="12">
      <c r="X601" s="198"/>
      <c r="Y601" s="198"/>
      <c r="Z601" s="198"/>
      <c r="AA601" s="198"/>
      <c r="AB601" s="198"/>
      <c r="AC601" s="198"/>
      <c r="AD601" s="198"/>
      <c r="AE601" s="198"/>
      <c r="AF601" s="198"/>
      <c r="AG601" s="198"/>
      <c r="AH601" s="198"/>
      <c r="AI601" s="198"/>
    </row>
    <row r="602" spans="24:35" ht="12">
      <c r="X602" s="198"/>
      <c r="Y602" s="198"/>
      <c r="Z602" s="198"/>
      <c r="AA602" s="198"/>
      <c r="AB602" s="198"/>
      <c r="AC602" s="198"/>
      <c r="AD602" s="198"/>
      <c r="AE602" s="198"/>
      <c r="AF602" s="198"/>
      <c r="AG602" s="198"/>
      <c r="AH602" s="198"/>
      <c r="AI602" s="198"/>
    </row>
    <row r="603" spans="24:35" ht="12">
      <c r="X603" s="198"/>
      <c r="Y603" s="198"/>
      <c r="Z603" s="198"/>
      <c r="AA603" s="198"/>
      <c r="AB603" s="198"/>
      <c r="AC603" s="198"/>
      <c r="AD603" s="198"/>
      <c r="AE603" s="198"/>
      <c r="AF603" s="198"/>
      <c r="AG603" s="198"/>
      <c r="AH603" s="198"/>
      <c r="AI603" s="198"/>
    </row>
    <row r="604" spans="24:35" ht="12">
      <c r="X604" s="198"/>
      <c r="Y604" s="198"/>
      <c r="Z604" s="198"/>
      <c r="AA604" s="198"/>
      <c r="AB604" s="198"/>
      <c r="AC604" s="198"/>
      <c r="AD604" s="198"/>
      <c r="AE604" s="198"/>
      <c r="AF604" s="198"/>
      <c r="AG604" s="198"/>
      <c r="AH604" s="198"/>
      <c r="AI604" s="198"/>
    </row>
    <row r="605" spans="24:35" ht="12">
      <c r="X605" s="198"/>
      <c r="Y605" s="198"/>
      <c r="Z605" s="198"/>
      <c r="AA605" s="198"/>
      <c r="AB605" s="198"/>
      <c r="AC605" s="198"/>
      <c r="AD605" s="198"/>
      <c r="AE605" s="198"/>
      <c r="AF605" s="198"/>
      <c r="AG605" s="198"/>
      <c r="AH605" s="198"/>
      <c r="AI605" s="198"/>
    </row>
    <row r="606" spans="24:35" ht="12">
      <c r="X606" s="198"/>
      <c r="Y606" s="198"/>
      <c r="Z606" s="198"/>
      <c r="AA606" s="198"/>
      <c r="AB606" s="198"/>
      <c r="AC606" s="198"/>
      <c r="AD606" s="198"/>
      <c r="AE606" s="198"/>
      <c r="AF606" s="198"/>
      <c r="AG606" s="198"/>
      <c r="AH606" s="198"/>
      <c r="AI606" s="198"/>
    </row>
    <row r="607" spans="24:35" ht="12">
      <c r="X607" s="198"/>
      <c r="Y607" s="198"/>
      <c r="Z607" s="198"/>
      <c r="AA607" s="198"/>
      <c r="AB607" s="198"/>
      <c r="AC607" s="198"/>
      <c r="AD607" s="198"/>
      <c r="AE607" s="198"/>
      <c r="AF607" s="198"/>
      <c r="AG607" s="198"/>
      <c r="AH607" s="198"/>
      <c r="AI607" s="198"/>
    </row>
    <row r="608" spans="24:35" ht="12">
      <c r="X608" s="198"/>
      <c r="Y608" s="198"/>
      <c r="Z608" s="198"/>
      <c r="AA608" s="198"/>
      <c r="AB608" s="198"/>
      <c r="AC608" s="198"/>
      <c r="AD608" s="198"/>
      <c r="AE608" s="198"/>
      <c r="AF608" s="198"/>
      <c r="AG608" s="198"/>
      <c r="AH608" s="198"/>
      <c r="AI608" s="198"/>
    </row>
    <row r="609" spans="24:35" ht="12">
      <c r="X609" s="198"/>
      <c r="Y609" s="198"/>
      <c r="Z609" s="198"/>
      <c r="AA609" s="198"/>
      <c r="AB609" s="198"/>
      <c r="AC609" s="198"/>
      <c r="AD609" s="198"/>
      <c r="AE609" s="198"/>
      <c r="AF609" s="198"/>
      <c r="AG609" s="198"/>
      <c r="AH609" s="198"/>
      <c r="AI609" s="198"/>
    </row>
    <row r="610" spans="24:35" ht="12">
      <c r="X610" s="198"/>
      <c r="Y610" s="198"/>
      <c r="Z610" s="198"/>
      <c r="AA610" s="198"/>
      <c r="AB610" s="198"/>
      <c r="AC610" s="198"/>
      <c r="AD610" s="198"/>
      <c r="AE610" s="198"/>
      <c r="AF610" s="198"/>
      <c r="AG610" s="198"/>
      <c r="AH610" s="198"/>
      <c r="AI610" s="198"/>
    </row>
    <row r="611" spans="24:35" ht="12">
      <c r="X611" s="198"/>
      <c r="Y611" s="198"/>
      <c r="Z611" s="198"/>
      <c r="AA611" s="198"/>
      <c r="AB611" s="198"/>
      <c r="AC611" s="198"/>
      <c r="AD611" s="198"/>
      <c r="AE611" s="198"/>
      <c r="AF611" s="198"/>
      <c r="AG611" s="198"/>
      <c r="AH611" s="198"/>
      <c r="AI611" s="198"/>
    </row>
    <row r="612" spans="24:35" ht="12">
      <c r="X612" s="198"/>
      <c r="Y612" s="198"/>
      <c r="Z612" s="198"/>
      <c r="AA612" s="198"/>
      <c r="AB612" s="198"/>
      <c r="AC612" s="198"/>
      <c r="AD612" s="198"/>
      <c r="AE612" s="198"/>
      <c r="AF612" s="198"/>
      <c r="AG612" s="198"/>
      <c r="AH612" s="198"/>
      <c r="AI612" s="198"/>
    </row>
    <row r="613" spans="24:35" ht="12">
      <c r="X613" s="198"/>
      <c r="Y613" s="198"/>
      <c r="Z613" s="198"/>
      <c r="AA613" s="198"/>
      <c r="AB613" s="198"/>
      <c r="AC613" s="198"/>
      <c r="AD613" s="198"/>
      <c r="AE613" s="198"/>
      <c r="AF613" s="198"/>
      <c r="AG613" s="198"/>
      <c r="AH613" s="198"/>
      <c r="AI613" s="198"/>
    </row>
    <row r="614" spans="24:35" ht="12">
      <c r="X614" s="198"/>
      <c r="Y614" s="198"/>
      <c r="Z614" s="198"/>
      <c r="AA614" s="198"/>
      <c r="AB614" s="198"/>
      <c r="AC614" s="198"/>
      <c r="AD614" s="198"/>
      <c r="AE614" s="198"/>
      <c r="AF614" s="198"/>
      <c r="AG614" s="198"/>
      <c r="AH614" s="198"/>
      <c r="AI614" s="198"/>
    </row>
    <row r="615" spans="24:35" ht="12">
      <c r="X615" s="198"/>
      <c r="Y615" s="198"/>
      <c r="Z615" s="198"/>
      <c r="AA615" s="198"/>
      <c r="AB615" s="198"/>
      <c r="AC615" s="198"/>
      <c r="AD615" s="198"/>
      <c r="AE615" s="198"/>
      <c r="AF615" s="198"/>
      <c r="AG615" s="198"/>
      <c r="AH615" s="198"/>
      <c r="AI615" s="198"/>
    </row>
    <row r="616" spans="24:35" ht="12">
      <c r="X616" s="198"/>
      <c r="Y616" s="198"/>
      <c r="Z616" s="198"/>
      <c r="AA616" s="198"/>
      <c r="AB616" s="198"/>
      <c r="AC616" s="198"/>
      <c r="AD616" s="198"/>
      <c r="AE616" s="198"/>
      <c r="AF616" s="198"/>
      <c r="AG616" s="198"/>
      <c r="AH616" s="198"/>
      <c r="AI616" s="198"/>
    </row>
    <row r="617" spans="24:35" ht="12">
      <c r="X617" s="198"/>
      <c r="Y617" s="198"/>
      <c r="Z617" s="198"/>
      <c r="AA617" s="198"/>
      <c r="AB617" s="198"/>
      <c r="AC617" s="198"/>
      <c r="AD617" s="198"/>
      <c r="AE617" s="198"/>
      <c r="AF617" s="198"/>
      <c r="AG617" s="198"/>
      <c r="AH617" s="198"/>
      <c r="AI617" s="198"/>
    </row>
    <row r="618" spans="24:35" ht="12">
      <c r="X618" s="198"/>
      <c r="Y618" s="198"/>
      <c r="Z618" s="198"/>
      <c r="AA618" s="198"/>
      <c r="AB618" s="198"/>
      <c r="AC618" s="198"/>
      <c r="AD618" s="198"/>
      <c r="AE618" s="198"/>
      <c r="AF618" s="198"/>
      <c r="AG618" s="198"/>
      <c r="AH618" s="198"/>
      <c r="AI618" s="198"/>
    </row>
    <row r="619" spans="24:35" ht="12">
      <c r="X619" s="198"/>
      <c r="Y619" s="198"/>
      <c r="Z619" s="198"/>
      <c r="AA619" s="198"/>
      <c r="AB619" s="198"/>
      <c r="AC619" s="198"/>
      <c r="AD619" s="198"/>
      <c r="AE619" s="198"/>
      <c r="AF619" s="198"/>
      <c r="AG619" s="198"/>
      <c r="AH619" s="198"/>
      <c r="AI619" s="198"/>
    </row>
    <row r="620" spans="24:35" ht="12">
      <c r="X620" s="198"/>
      <c r="Y620" s="198"/>
      <c r="Z620" s="198"/>
      <c r="AA620" s="198"/>
      <c r="AB620" s="198"/>
      <c r="AC620" s="198"/>
      <c r="AD620" s="198"/>
      <c r="AE620" s="198"/>
      <c r="AF620" s="198"/>
      <c r="AG620" s="198"/>
      <c r="AH620" s="198"/>
      <c r="AI620" s="198"/>
    </row>
    <row r="621" spans="24:35" ht="12">
      <c r="X621" s="198"/>
      <c r="Y621" s="198"/>
      <c r="Z621" s="198"/>
      <c r="AA621" s="198"/>
      <c r="AB621" s="198"/>
      <c r="AC621" s="198"/>
      <c r="AD621" s="198"/>
      <c r="AE621" s="198"/>
      <c r="AF621" s="198"/>
      <c r="AG621" s="198"/>
      <c r="AH621" s="198"/>
      <c r="AI621" s="198"/>
    </row>
    <row r="622" spans="24:35" ht="12">
      <c r="X622" s="198"/>
      <c r="Y622" s="198"/>
      <c r="Z622" s="198"/>
      <c r="AA622" s="198"/>
      <c r="AB622" s="198"/>
      <c r="AC622" s="198"/>
      <c r="AD622" s="198"/>
      <c r="AE622" s="198"/>
      <c r="AF622" s="198"/>
      <c r="AG622" s="198"/>
      <c r="AH622" s="198"/>
      <c r="AI622" s="198"/>
    </row>
    <row r="623" spans="24:35" ht="12">
      <c r="X623" s="198"/>
      <c r="Y623" s="198"/>
      <c r="Z623" s="198"/>
      <c r="AA623" s="198"/>
      <c r="AB623" s="198"/>
      <c r="AC623" s="198"/>
      <c r="AD623" s="198"/>
      <c r="AE623" s="198"/>
      <c r="AF623" s="198"/>
      <c r="AG623" s="198"/>
      <c r="AH623" s="198"/>
      <c r="AI623" s="198"/>
    </row>
    <row r="624" spans="24:35" ht="12">
      <c r="X624" s="198"/>
      <c r="Y624" s="198"/>
      <c r="Z624" s="198"/>
      <c r="AA624" s="198"/>
      <c r="AB624" s="198"/>
      <c r="AC624" s="198"/>
      <c r="AD624" s="198"/>
      <c r="AE624" s="198"/>
      <c r="AF624" s="198"/>
      <c r="AG624" s="198"/>
      <c r="AH624" s="198"/>
      <c r="AI624" s="198"/>
    </row>
    <row r="625" spans="24:35" ht="12">
      <c r="X625" s="198"/>
      <c r="Y625" s="198"/>
      <c r="Z625" s="198"/>
      <c r="AA625" s="198"/>
      <c r="AB625" s="198"/>
      <c r="AC625" s="198"/>
      <c r="AD625" s="198"/>
      <c r="AE625" s="198"/>
      <c r="AF625" s="198"/>
      <c r="AG625" s="198"/>
      <c r="AH625" s="198"/>
      <c r="AI625" s="198"/>
    </row>
    <row r="626" spans="24:35" ht="12">
      <c r="X626" s="198"/>
      <c r="Y626" s="198"/>
      <c r="Z626" s="198"/>
      <c r="AA626" s="198"/>
      <c r="AB626" s="198"/>
      <c r="AC626" s="198"/>
      <c r="AD626" s="198"/>
      <c r="AE626" s="198"/>
      <c r="AF626" s="198"/>
      <c r="AG626" s="198"/>
      <c r="AH626" s="198"/>
      <c r="AI626" s="198"/>
    </row>
    <row r="627" spans="24:35" ht="12">
      <c r="X627" s="198"/>
      <c r="Y627" s="198"/>
      <c r="Z627" s="198"/>
      <c r="AA627" s="198"/>
      <c r="AB627" s="198"/>
      <c r="AC627" s="198"/>
      <c r="AD627" s="198"/>
      <c r="AE627" s="198"/>
      <c r="AF627" s="198"/>
      <c r="AG627" s="198"/>
      <c r="AH627" s="198"/>
      <c r="AI627" s="198"/>
    </row>
    <row r="628" spans="24:35" ht="12">
      <c r="X628" s="198"/>
      <c r="Y628" s="198"/>
      <c r="Z628" s="198"/>
      <c r="AA628" s="198"/>
      <c r="AB628" s="198"/>
      <c r="AC628" s="198"/>
      <c r="AD628" s="198"/>
      <c r="AE628" s="198"/>
      <c r="AF628" s="198"/>
      <c r="AG628" s="198"/>
      <c r="AH628" s="198"/>
      <c r="AI628" s="198"/>
    </row>
    <row r="629" spans="24:35" ht="12">
      <c r="X629" s="198"/>
      <c r="Y629" s="198"/>
      <c r="Z629" s="198"/>
      <c r="AA629" s="198"/>
      <c r="AB629" s="198"/>
      <c r="AC629" s="198"/>
      <c r="AD629" s="198"/>
      <c r="AE629" s="198"/>
      <c r="AF629" s="198"/>
      <c r="AG629" s="198"/>
      <c r="AH629" s="198"/>
      <c r="AI629" s="198"/>
    </row>
    <row r="630" spans="24:35" ht="12">
      <c r="X630" s="198"/>
      <c r="Y630" s="198"/>
      <c r="Z630" s="198"/>
      <c r="AA630" s="198"/>
      <c r="AB630" s="198"/>
      <c r="AC630" s="198"/>
      <c r="AD630" s="198"/>
      <c r="AE630" s="198"/>
      <c r="AF630" s="198"/>
      <c r="AG630" s="198"/>
      <c r="AH630" s="198"/>
      <c r="AI630" s="198"/>
    </row>
    <row r="631" spans="24:35" ht="12">
      <c r="X631" s="198"/>
      <c r="Y631" s="198"/>
      <c r="Z631" s="198"/>
      <c r="AA631" s="198"/>
      <c r="AB631" s="198"/>
      <c r="AC631" s="198"/>
      <c r="AD631" s="198"/>
      <c r="AE631" s="198"/>
      <c r="AF631" s="198"/>
      <c r="AG631" s="198"/>
      <c r="AH631" s="198"/>
      <c r="AI631" s="198"/>
    </row>
    <row r="632" spans="24:35" ht="12">
      <c r="X632" s="198"/>
      <c r="Y632" s="198"/>
      <c r="Z632" s="198"/>
      <c r="AA632" s="198"/>
      <c r="AB632" s="198"/>
      <c r="AC632" s="198"/>
      <c r="AD632" s="198"/>
      <c r="AE632" s="198"/>
      <c r="AF632" s="198"/>
      <c r="AG632" s="198"/>
      <c r="AH632" s="198"/>
      <c r="AI632" s="198"/>
    </row>
    <row r="633" spans="24:35" ht="12">
      <c r="X633" s="198"/>
      <c r="Y633" s="198"/>
      <c r="Z633" s="198"/>
      <c r="AA633" s="198"/>
      <c r="AB633" s="198"/>
      <c r="AC633" s="198"/>
      <c r="AD633" s="198"/>
      <c r="AE633" s="198"/>
      <c r="AF633" s="198"/>
      <c r="AG633" s="198"/>
      <c r="AH633" s="198"/>
      <c r="AI633" s="198"/>
    </row>
    <row r="634" spans="24:35" ht="12">
      <c r="X634" s="198"/>
      <c r="Y634" s="198"/>
      <c r="Z634" s="198"/>
      <c r="AA634" s="198"/>
      <c r="AB634" s="198"/>
      <c r="AC634" s="198"/>
      <c r="AD634" s="198"/>
      <c r="AE634" s="198"/>
      <c r="AF634" s="198"/>
      <c r="AG634" s="198"/>
      <c r="AH634" s="198"/>
      <c r="AI634" s="198"/>
    </row>
    <row r="635" spans="24:35" ht="12">
      <c r="X635" s="198"/>
      <c r="Y635" s="198"/>
      <c r="Z635" s="198"/>
      <c r="AA635" s="198"/>
      <c r="AB635" s="198"/>
      <c r="AC635" s="198"/>
      <c r="AD635" s="198"/>
      <c r="AE635" s="198"/>
      <c r="AF635" s="198"/>
      <c r="AG635" s="198"/>
      <c r="AH635" s="198"/>
      <c r="AI635" s="198"/>
    </row>
    <row r="636" spans="24:35" ht="12">
      <c r="X636" s="198"/>
      <c r="Y636" s="198"/>
      <c r="Z636" s="198"/>
      <c r="AA636" s="198"/>
      <c r="AB636" s="198"/>
      <c r="AC636" s="198"/>
      <c r="AD636" s="198"/>
      <c r="AE636" s="198"/>
      <c r="AF636" s="198"/>
      <c r="AG636" s="198"/>
      <c r="AH636" s="198"/>
      <c r="AI636" s="198"/>
    </row>
    <row r="637" spans="24:35" ht="12">
      <c r="X637" s="198"/>
      <c r="Y637" s="198"/>
      <c r="Z637" s="198"/>
      <c r="AA637" s="198"/>
      <c r="AB637" s="198"/>
      <c r="AC637" s="198"/>
      <c r="AD637" s="198"/>
      <c r="AE637" s="198"/>
      <c r="AF637" s="198"/>
      <c r="AG637" s="198"/>
      <c r="AH637" s="198"/>
      <c r="AI637" s="198"/>
    </row>
    <row r="638" spans="24:35" ht="12">
      <c r="X638" s="198"/>
      <c r="Y638" s="198"/>
      <c r="Z638" s="198"/>
      <c r="AA638" s="198"/>
      <c r="AB638" s="198"/>
      <c r="AC638" s="198"/>
      <c r="AD638" s="198"/>
      <c r="AE638" s="198"/>
      <c r="AF638" s="198"/>
      <c r="AG638" s="198"/>
      <c r="AH638" s="198"/>
      <c r="AI638" s="198"/>
    </row>
    <row r="639" spans="24:35" ht="12">
      <c r="X639" s="198"/>
      <c r="Y639" s="198"/>
      <c r="Z639" s="198"/>
      <c r="AA639" s="198"/>
      <c r="AB639" s="198"/>
      <c r="AC639" s="198"/>
      <c r="AD639" s="198"/>
      <c r="AE639" s="198"/>
      <c r="AF639" s="198"/>
      <c r="AG639" s="198"/>
      <c r="AH639" s="198"/>
      <c r="AI639" s="198"/>
    </row>
    <row r="640" spans="24:35" ht="12">
      <c r="X640" s="198"/>
      <c r="Y640" s="198"/>
      <c r="Z640" s="198"/>
      <c r="AA640" s="198"/>
      <c r="AB640" s="198"/>
      <c r="AC640" s="198"/>
      <c r="AD640" s="198"/>
      <c r="AE640" s="198"/>
      <c r="AF640" s="198"/>
      <c r="AG640" s="198"/>
      <c r="AH640" s="198"/>
      <c r="AI640" s="198"/>
    </row>
    <row r="641" spans="24:35" ht="12">
      <c r="X641" s="198"/>
      <c r="Y641" s="198"/>
      <c r="Z641" s="198"/>
      <c r="AA641" s="198"/>
      <c r="AB641" s="198"/>
      <c r="AC641" s="198"/>
      <c r="AD641" s="198"/>
      <c r="AE641" s="198"/>
      <c r="AF641" s="198"/>
      <c r="AG641" s="198"/>
      <c r="AH641" s="198"/>
      <c r="AI641" s="198"/>
    </row>
    <row r="642" spans="24:35" ht="12">
      <c r="X642" s="198"/>
      <c r="Y642" s="198"/>
      <c r="Z642" s="198"/>
      <c r="AA642" s="198"/>
      <c r="AB642" s="198"/>
      <c r="AC642" s="198"/>
      <c r="AD642" s="198"/>
      <c r="AE642" s="198"/>
      <c r="AF642" s="198"/>
      <c r="AG642" s="198"/>
      <c r="AH642" s="198"/>
      <c r="AI642" s="19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P602"/>
  <sheetViews>
    <sheetView zoomScaleSheetLayoutView="100" zoomScalePageLayoutView="0" workbookViewId="0" topLeftCell="A78">
      <selection activeCell="B243" sqref="B243"/>
    </sheetView>
  </sheetViews>
  <sheetFormatPr defaultColWidth="9.140625" defaultRowHeight="12.75"/>
  <cols>
    <col min="1" max="1" width="3.57421875" style="30" customWidth="1"/>
    <col min="2" max="2" width="41.421875" style="161" customWidth="1"/>
    <col min="3" max="3" width="10.28125" style="31" customWidth="1"/>
    <col min="4" max="6" width="10.00390625" style="31" customWidth="1"/>
    <col min="7" max="7" width="9.140625" style="31" customWidth="1"/>
    <col min="8" max="9" width="7.140625" style="31" customWidth="1"/>
    <col min="10" max="10" width="9.28125" style="31" customWidth="1"/>
    <col min="11" max="11" width="8.7109375" style="31" customWidth="1"/>
    <col min="12" max="12" width="8.28125" style="31" customWidth="1"/>
    <col min="13" max="13" width="7.8515625" style="31" customWidth="1"/>
    <col min="14" max="14" width="5.8515625" style="33" customWidth="1"/>
    <col min="15" max="16384" width="9.140625" style="163" customWidth="1"/>
  </cols>
  <sheetData>
    <row r="1" spans="2:13" ht="21.75" customHeight="1">
      <c r="B1" s="23" t="s">
        <v>95</v>
      </c>
      <c r="E1" s="431"/>
      <c r="F1" s="415"/>
      <c r="G1" s="432"/>
      <c r="H1" s="420"/>
      <c r="I1" s="433"/>
      <c r="J1" s="434"/>
      <c r="K1" s="415"/>
      <c r="L1" s="12"/>
      <c r="M1" s="32" t="s">
        <v>51</v>
      </c>
    </row>
    <row r="2" spans="2:13" ht="14.25">
      <c r="B2" s="34" t="s">
        <v>101</v>
      </c>
      <c r="E2" s="431"/>
      <c r="F2" s="433" t="s">
        <v>22</v>
      </c>
      <c r="G2" s="432"/>
      <c r="H2" s="433" t="s">
        <v>64</v>
      </c>
      <c r="I2" s="433"/>
      <c r="J2" s="433" t="s">
        <v>23</v>
      </c>
      <c r="K2" s="415"/>
      <c r="L2" s="12"/>
      <c r="M2" s="32"/>
    </row>
    <row r="3" spans="2:12" ht="14.25">
      <c r="B3" s="34" t="s">
        <v>102</v>
      </c>
      <c r="D3" s="161"/>
      <c r="E3" s="431"/>
      <c r="F3" s="433" t="s">
        <v>251</v>
      </c>
      <c r="G3" s="432"/>
      <c r="H3" s="420"/>
      <c r="I3" s="433"/>
      <c r="J3" s="433" t="s">
        <v>75</v>
      </c>
      <c r="K3" s="415"/>
      <c r="L3" s="12"/>
    </row>
    <row r="4" spans="2:11" ht="14.25">
      <c r="B4" s="34" t="s">
        <v>103</v>
      </c>
      <c r="D4" s="161"/>
      <c r="E4" s="421"/>
      <c r="F4" s="433" t="s">
        <v>212</v>
      </c>
      <c r="G4" s="435"/>
      <c r="H4" s="421"/>
      <c r="I4" s="421"/>
      <c r="J4" s="433" t="s">
        <v>117</v>
      </c>
      <c r="K4" s="415"/>
    </row>
    <row r="5" spans="2:11" ht="14.25">
      <c r="B5" s="34" t="s">
        <v>389</v>
      </c>
      <c r="D5" s="161"/>
      <c r="E5" s="421"/>
      <c r="F5" s="431" t="s">
        <v>241</v>
      </c>
      <c r="G5" s="432"/>
      <c r="H5" s="432"/>
      <c r="I5" s="432"/>
      <c r="J5" s="432"/>
      <c r="K5" s="421"/>
    </row>
    <row r="6" spans="5:12" ht="14.25">
      <c r="E6" s="161"/>
      <c r="F6" s="161"/>
      <c r="G6" s="359"/>
      <c r="H6" s="10"/>
      <c r="J6" s="10"/>
      <c r="K6" s="161"/>
      <c r="L6" s="12"/>
    </row>
    <row r="7" spans="2:12" ht="10.5" customHeight="1">
      <c r="B7" s="34" t="s">
        <v>20</v>
      </c>
      <c r="E7" s="161"/>
      <c r="F7" s="161"/>
      <c r="G7" s="359"/>
      <c r="H7" s="10"/>
      <c r="J7" s="10"/>
      <c r="K7" s="161"/>
      <c r="L7" s="12"/>
    </row>
    <row r="8" spans="1:13" ht="30" customHeight="1">
      <c r="A8" s="456" t="s">
        <v>390</v>
      </c>
      <c r="B8" s="457"/>
      <c r="C8" s="457"/>
      <c r="D8" s="457"/>
      <c r="E8" s="457"/>
      <c r="F8" s="457"/>
      <c r="G8" s="457"/>
      <c r="H8" s="457"/>
      <c r="I8" s="457"/>
      <c r="J8" s="457"/>
      <c r="K8" s="457"/>
      <c r="L8" s="457"/>
      <c r="M8" s="457"/>
    </row>
    <row r="9" spans="1:14" s="36" customFormat="1" ht="12" customHeight="1" thickBot="1">
      <c r="A9" s="37"/>
      <c r="B9" s="166"/>
      <c r="C9" s="38"/>
      <c r="D9" s="38"/>
      <c r="E9" s="38"/>
      <c r="F9" s="38"/>
      <c r="G9" s="38"/>
      <c r="H9" s="38"/>
      <c r="I9" s="38"/>
      <c r="J9" s="39"/>
      <c r="K9" s="38"/>
      <c r="L9" s="158"/>
      <c r="M9" s="40" t="s">
        <v>41</v>
      </c>
      <c r="N9" s="35"/>
    </row>
    <row r="10" spans="1:14" s="36" customFormat="1" ht="67.5" customHeight="1">
      <c r="A10" s="406" t="s">
        <v>574</v>
      </c>
      <c r="B10" s="405" t="s">
        <v>568</v>
      </c>
      <c r="C10" s="407" t="s">
        <v>569</v>
      </c>
      <c r="D10" s="407" t="s">
        <v>570</v>
      </c>
      <c r="E10" s="407" t="s">
        <v>571</v>
      </c>
      <c r="F10" s="407" t="s">
        <v>572</v>
      </c>
      <c r="G10" s="408" t="s">
        <v>573</v>
      </c>
      <c r="H10" s="403" t="s">
        <v>388</v>
      </c>
      <c r="I10" s="403" t="s">
        <v>45</v>
      </c>
      <c r="J10" s="403" t="s">
        <v>392</v>
      </c>
      <c r="K10" s="403" t="s">
        <v>173</v>
      </c>
      <c r="L10" s="403" t="s">
        <v>21</v>
      </c>
      <c r="M10" s="404" t="s">
        <v>391</v>
      </c>
      <c r="N10" s="35"/>
    </row>
    <row r="11" spans="1:14" s="36" customFormat="1" ht="17.25" customHeight="1" thickBot="1">
      <c r="A11" s="41">
        <v>0</v>
      </c>
      <c r="B11" s="42">
        <v>1</v>
      </c>
      <c r="C11" s="42">
        <v>2</v>
      </c>
      <c r="D11" s="42">
        <v>3</v>
      </c>
      <c r="E11" s="42">
        <v>4</v>
      </c>
      <c r="F11" s="42">
        <v>5</v>
      </c>
      <c r="G11" s="386">
        <v>6</v>
      </c>
      <c r="H11" s="42">
        <v>7</v>
      </c>
      <c r="I11" s="42">
        <v>8</v>
      </c>
      <c r="J11" s="281">
        <v>10</v>
      </c>
      <c r="K11" s="42">
        <v>11</v>
      </c>
      <c r="L11" s="42">
        <v>12</v>
      </c>
      <c r="M11" s="42">
        <v>13</v>
      </c>
      <c r="N11" s="35"/>
    </row>
    <row r="12" spans="1:14" s="36" customFormat="1" ht="18.75" customHeight="1">
      <c r="A12" s="37"/>
      <c r="B12" s="166"/>
      <c r="C12" s="37"/>
      <c r="D12" s="37"/>
      <c r="E12" s="37"/>
      <c r="F12" s="37"/>
      <c r="G12" s="273">
        <f>G13-496951</f>
        <v>354321</v>
      </c>
      <c r="H12" s="273"/>
      <c r="I12" s="273">
        <f>I13-3420</f>
        <v>-1366</v>
      </c>
      <c r="J12" s="273">
        <f>J13-364036</f>
        <v>191824</v>
      </c>
      <c r="K12" s="273">
        <f>K13-6009</f>
        <v>22838</v>
      </c>
      <c r="L12" s="273">
        <f>L13-97224</f>
        <v>73184</v>
      </c>
      <c r="M12" s="273">
        <f>M13-26262</f>
        <v>24817</v>
      </c>
      <c r="N12" s="35"/>
    </row>
    <row r="13" spans="1:14" s="36" customFormat="1" ht="18.75" customHeight="1">
      <c r="A13" s="28"/>
      <c r="B13" s="43" t="s">
        <v>48</v>
      </c>
      <c r="C13" s="44">
        <f aca="true" t="shared" si="0" ref="C13:F14">C16+C19+C22</f>
        <v>1546572</v>
      </c>
      <c r="D13" s="44">
        <f t="shared" si="0"/>
        <v>1610979</v>
      </c>
      <c r="E13" s="44">
        <f t="shared" si="0"/>
        <v>362443</v>
      </c>
      <c r="F13" s="44">
        <f t="shared" si="0"/>
        <v>1248536</v>
      </c>
      <c r="G13" s="385">
        <f>H13+I13+J13+K13+L13+M13</f>
        <v>851272</v>
      </c>
      <c r="H13" s="44">
        <f aca="true" t="shared" si="1" ref="H13:K14">H16+H19+H22</f>
        <v>43024</v>
      </c>
      <c r="I13" s="44">
        <f t="shared" si="1"/>
        <v>2054</v>
      </c>
      <c r="J13" s="44">
        <f t="shared" si="1"/>
        <v>555860</v>
      </c>
      <c r="K13" s="44">
        <f t="shared" si="1"/>
        <v>28847</v>
      </c>
      <c r="L13" s="44">
        <f>L16+L19+L22</f>
        <v>170408</v>
      </c>
      <c r="M13" s="44">
        <f>M16+M19+M22</f>
        <v>51079</v>
      </c>
      <c r="N13" s="35"/>
    </row>
    <row r="14" spans="1:14" s="36" customFormat="1" ht="18.75" customHeight="1">
      <c r="A14" s="28"/>
      <c r="B14" s="43" t="s">
        <v>80</v>
      </c>
      <c r="C14" s="44">
        <f t="shared" si="0"/>
        <v>1003442</v>
      </c>
      <c r="D14" s="44">
        <f t="shared" si="0"/>
        <v>1082588</v>
      </c>
      <c r="E14" s="44">
        <f t="shared" si="0"/>
        <v>205703</v>
      </c>
      <c r="F14" s="44">
        <f t="shared" si="0"/>
        <v>876885</v>
      </c>
      <c r="G14" s="385">
        <f>H14+I14+J14+K14+L14+M14</f>
        <v>575221</v>
      </c>
      <c r="H14" s="44">
        <f t="shared" si="1"/>
        <v>30804</v>
      </c>
      <c r="I14" s="44">
        <f t="shared" si="1"/>
        <v>0</v>
      </c>
      <c r="J14" s="44">
        <f t="shared" si="1"/>
        <v>418413</v>
      </c>
      <c r="K14" s="44">
        <f t="shared" si="1"/>
        <v>0</v>
      </c>
      <c r="L14" s="44">
        <f>L17+L20+L23</f>
        <v>75260</v>
      </c>
      <c r="M14" s="44">
        <f>M17+M20+M23</f>
        <v>50744</v>
      </c>
      <c r="N14" s="35"/>
    </row>
    <row r="15" spans="1:14" s="36" customFormat="1" ht="18.75" customHeight="1">
      <c r="A15" s="45"/>
      <c r="B15" s="161"/>
      <c r="C15" s="46"/>
      <c r="D15" s="46"/>
      <c r="E15" s="46"/>
      <c r="F15" s="46"/>
      <c r="G15" s="46"/>
      <c r="H15" s="46"/>
      <c r="I15" s="46"/>
      <c r="J15" s="46"/>
      <c r="K15" s="46"/>
      <c r="L15" s="46"/>
      <c r="M15" s="46"/>
      <c r="N15" s="35"/>
    </row>
    <row r="16" spans="1:14" s="36" customFormat="1" ht="18.75" customHeight="1">
      <c r="A16" s="28" t="s">
        <v>1</v>
      </c>
      <c r="B16" s="47" t="s">
        <v>2</v>
      </c>
      <c r="C16" s="44">
        <f aca="true" t="shared" si="2" ref="C16:M16">C30+C47+C66+C202+C227+C263+C282+C352+C377+C401+C448+C578</f>
        <v>516496</v>
      </c>
      <c r="D16" s="44">
        <f t="shared" si="2"/>
        <v>568432</v>
      </c>
      <c r="E16" s="44">
        <f t="shared" si="2"/>
        <v>228510</v>
      </c>
      <c r="F16" s="44">
        <f t="shared" si="2"/>
        <v>339922</v>
      </c>
      <c r="G16" s="385">
        <f t="shared" si="2"/>
        <v>288987</v>
      </c>
      <c r="H16" s="44">
        <f t="shared" si="2"/>
        <v>0</v>
      </c>
      <c r="I16" s="44">
        <f t="shared" si="2"/>
        <v>0</v>
      </c>
      <c r="J16" s="44">
        <f t="shared" si="2"/>
        <v>272638</v>
      </c>
      <c r="K16" s="44">
        <f t="shared" si="2"/>
        <v>0</v>
      </c>
      <c r="L16" s="44">
        <f t="shared" si="2"/>
        <v>9849</v>
      </c>
      <c r="M16" s="44">
        <f t="shared" si="2"/>
        <v>6500</v>
      </c>
      <c r="N16" s="35"/>
    </row>
    <row r="17" spans="1:14" s="36" customFormat="1" ht="18.75" customHeight="1">
      <c r="A17" s="28"/>
      <c r="B17" s="48" t="s">
        <v>3</v>
      </c>
      <c r="C17" s="44">
        <f aca="true" t="shared" si="3" ref="C17:M17">C31+C48+C67+C203+C228+C264+C283+C353+C449+C378+C402+C579</f>
        <v>427371</v>
      </c>
      <c r="D17" s="44">
        <f t="shared" si="3"/>
        <v>496166</v>
      </c>
      <c r="E17" s="44">
        <f t="shared" si="3"/>
        <v>199152</v>
      </c>
      <c r="F17" s="44">
        <f t="shared" si="3"/>
        <v>297014</v>
      </c>
      <c r="G17" s="385">
        <f t="shared" si="3"/>
        <v>254256</v>
      </c>
      <c r="H17" s="44">
        <f t="shared" si="3"/>
        <v>0</v>
      </c>
      <c r="I17" s="44">
        <f t="shared" si="3"/>
        <v>0</v>
      </c>
      <c r="J17" s="44">
        <f t="shared" si="3"/>
        <v>238836</v>
      </c>
      <c r="K17" s="44">
        <f t="shared" si="3"/>
        <v>0</v>
      </c>
      <c r="L17" s="44">
        <f t="shared" si="3"/>
        <v>9130</v>
      </c>
      <c r="M17" s="44">
        <f t="shared" si="3"/>
        <v>6290</v>
      </c>
      <c r="N17" s="35"/>
    </row>
    <row r="18" spans="1:14" s="36" customFormat="1" ht="18.75" customHeight="1">
      <c r="A18" s="28"/>
      <c r="B18" s="167"/>
      <c r="C18" s="49"/>
      <c r="D18" s="49"/>
      <c r="E18" s="49"/>
      <c r="F18" s="49"/>
      <c r="G18" s="49"/>
      <c r="H18" s="49"/>
      <c r="I18" s="49"/>
      <c r="J18" s="49"/>
      <c r="K18" s="49"/>
      <c r="L18" s="49"/>
      <c r="M18" s="49"/>
      <c r="N18" s="35"/>
    </row>
    <row r="19" spans="1:14" s="36" customFormat="1" ht="18.75" customHeight="1">
      <c r="A19" s="28" t="s">
        <v>4</v>
      </c>
      <c r="B19" s="168" t="s">
        <v>2</v>
      </c>
      <c r="C19" s="44">
        <f aca="true" t="shared" si="4" ref="C19:M19">C33+C50+C110+C205+C234+C266+C298+C359+C478+C385+C414+C581</f>
        <v>756750</v>
      </c>
      <c r="D19" s="44">
        <f t="shared" si="4"/>
        <v>769221</v>
      </c>
      <c r="E19" s="44">
        <f t="shared" si="4"/>
        <v>105675</v>
      </c>
      <c r="F19" s="44">
        <f t="shared" si="4"/>
        <v>663546</v>
      </c>
      <c r="G19" s="385">
        <f t="shared" si="4"/>
        <v>341773</v>
      </c>
      <c r="H19" s="44">
        <f t="shared" si="4"/>
        <v>31524</v>
      </c>
      <c r="I19" s="44">
        <f t="shared" si="4"/>
        <v>0</v>
      </c>
      <c r="J19" s="44">
        <f t="shared" si="4"/>
        <v>189582</v>
      </c>
      <c r="K19" s="44">
        <f t="shared" si="4"/>
        <v>0</v>
      </c>
      <c r="L19" s="44">
        <f t="shared" si="4"/>
        <v>76213</v>
      </c>
      <c r="M19" s="44">
        <f t="shared" si="4"/>
        <v>44454</v>
      </c>
      <c r="N19" s="35"/>
    </row>
    <row r="20" spans="1:14" s="36" customFormat="1" ht="18.75" customHeight="1">
      <c r="A20" s="28"/>
      <c r="B20" s="48" t="s">
        <v>5</v>
      </c>
      <c r="C20" s="44">
        <f aca="true" t="shared" si="5" ref="C20:M20">C34+C51+C111+C206+C235+C267+C299+C360+C479+C386+C415+C582</f>
        <v>576071</v>
      </c>
      <c r="D20" s="44">
        <f t="shared" si="5"/>
        <v>586422</v>
      </c>
      <c r="E20" s="44">
        <f t="shared" si="5"/>
        <v>6551</v>
      </c>
      <c r="F20" s="44">
        <f t="shared" si="5"/>
        <v>579871</v>
      </c>
      <c r="G20" s="385">
        <f t="shared" si="5"/>
        <v>320965</v>
      </c>
      <c r="H20" s="44">
        <f t="shared" si="5"/>
        <v>30804</v>
      </c>
      <c r="I20" s="44">
        <f t="shared" si="5"/>
        <v>0</v>
      </c>
      <c r="J20" s="44">
        <f t="shared" si="5"/>
        <v>179577</v>
      </c>
      <c r="K20" s="44">
        <f t="shared" si="5"/>
        <v>0</v>
      </c>
      <c r="L20" s="44">
        <f t="shared" si="5"/>
        <v>66130</v>
      </c>
      <c r="M20" s="44">
        <f t="shared" si="5"/>
        <v>44454</v>
      </c>
      <c r="N20" s="35"/>
    </row>
    <row r="21" spans="1:14" s="50" customFormat="1" ht="18.75" customHeight="1">
      <c r="A21" s="28"/>
      <c r="B21" s="167"/>
      <c r="C21" s="49"/>
      <c r="D21" s="49"/>
      <c r="E21" s="49"/>
      <c r="F21" s="49"/>
      <c r="G21" s="49"/>
      <c r="H21" s="49"/>
      <c r="I21" s="49"/>
      <c r="J21" s="49"/>
      <c r="K21" s="49"/>
      <c r="L21" s="49"/>
      <c r="M21" s="49"/>
      <c r="N21" s="35"/>
    </row>
    <row r="22" spans="1:14" s="52" customFormat="1" ht="18.75" customHeight="1">
      <c r="A22" s="28" t="s">
        <v>6</v>
      </c>
      <c r="B22" s="168" t="s">
        <v>81</v>
      </c>
      <c r="C22" s="44">
        <f aca="true" t="shared" si="6" ref="C22:M22">C36+C53+C177+C211+C250+C271+C339+C365+C564+C391+C429+C584</f>
        <v>273326</v>
      </c>
      <c r="D22" s="44">
        <f t="shared" si="6"/>
        <v>273326</v>
      </c>
      <c r="E22" s="44">
        <f t="shared" si="6"/>
        <v>28258</v>
      </c>
      <c r="F22" s="44">
        <f t="shared" si="6"/>
        <v>245068</v>
      </c>
      <c r="G22" s="385">
        <f t="shared" si="6"/>
        <v>220512</v>
      </c>
      <c r="H22" s="44">
        <f t="shared" si="6"/>
        <v>11500</v>
      </c>
      <c r="I22" s="44">
        <f t="shared" si="6"/>
        <v>2054</v>
      </c>
      <c r="J22" s="44">
        <f t="shared" si="6"/>
        <v>93640</v>
      </c>
      <c r="K22" s="44">
        <f t="shared" si="6"/>
        <v>28847</v>
      </c>
      <c r="L22" s="44">
        <f t="shared" si="6"/>
        <v>84346</v>
      </c>
      <c r="M22" s="44">
        <f t="shared" si="6"/>
        <v>125</v>
      </c>
      <c r="N22" s="51"/>
    </row>
    <row r="23" spans="1:14" s="52" customFormat="1" ht="18.75" customHeight="1">
      <c r="A23" s="53"/>
      <c r="B23" s="48" t="s">
        <v>7</v>
      </c>
      <c r="C23" s="44">
        <f>0</f>
        <v>0</v>
      </c>
      <c r="D23" s="44">
        <f>0</f>
        <v>0</v>
      </c>
      <c r="E23" s="44">
        <f>0</f>
        <v>0</v>
      </c>
      <c r="F23" s="44">
        <f>0</f>
        <v>0</v>
      </c>
      <c r="G23" s="385">
        <f>0</f>
        <v>0</v>
      </c>
      <c r="H23" s="44">
        <f>0</f>
        <v>0</v>
      </c>
      <c r="I23" s="44">
        <f>0</f>
        <v>0</v>
      </c>
      <c r="J23" s="44">
        <f>0</f>
        <v>0</v>
      </c>
      <c r="K23" s="44">
        <f>0</f>
        <v>0</v>
      </c>
      <c r="L23" s="44">
        <f>0</f>
        <v>0</v>
      </c>
      <c r="M23" s="44">
        <f>0</f>
        <v>0</v>
      </c>
      <c r="N23" s="51"/>
    </row>
    <row r="24" spans="1:14" s="55" customFormat="1" ht="15.75" customHeight="1">
      <c r="A24" s="53"/>
      <c r="B24" s="43"/>
      <c r="C24" s="46"/>
      <c r="D24" s="46"/>
      <c r="E24" s="46"/>
      <c r="F24" s="46"/>
      <c r="G24" s="10"/>
      <c r="H24" s="10"/>
      <c r="I24" s="10"/>
      <c r="J24" s="10"/>
      <c r="K24" s="10"/>
      <c r="L24" s="10"/>
      <c r="M24" s="10"/>
      <c r="N24" s="54"/>
    </row>
    <row r="25" spans="1:14" s="55" customFormat="1" ht="16.5" customHeight="1">
      <c r="A25" s="53"/>
      <c r="B25" s="43"/>
      <c r="C25" s="46"/>
      <c r="D25" s="24"/>
      <c r="E25" s="24"/>
      <c r="F25" s="24"/>
      <c r="G25" s="10"/>
      <c r="H25" s="10"/>
      <c r="I25" s="10"/>
      <c r="J25" s="10"/>
      <c r="K25" s="46"/>
      <c r="L25" s="46"/>
      <c r="M25" s="46"/>
      <c r="N25" s="54"/>
    </row>
    <row r="26" spans="1:14" s="56" customFormat="1" ht="40.5" customHeight="1">
      <c r="A26" s="21"/>
      <c r="B26" s="22" t="s">
        <v>8</v>
      </c>
      <c r="C26" s="23" t="s">
        <v>79</v>
      </c>
      <c r="D26" s="24"/>
      <c r="E26" s="24"/>
      <c r="F26" s="24"/>
      <c r="G26" s="246"/>
      <c r="H26" s="246"/>
      <c r="I26" s="246"/>
      <c r="K26" s="246"/>
      <c r="M26" s="10" t="s">
        <v>16</v>
      </c>
      <c r="N26" s="33"/>
    </row>
    <row r="27" spans="1:14" s="56" customFormat="1" ht="25.5" customHeight="1">
      <c r="A27" s="25"/>
      <c r="B27" s="26" t="s">
        <v>9</v>
      </c>
      <c r="C27" s="44">
        <f>C30+C33+C36</f>
        <v>25191</v>
      </c>
      <c r="D27" s="44">
        <f aca="true" t="shared" si="7" ref="D27:M27">D30+D33+D36</f>
        <v>25191</v>
      </c>
      <c r="E27" s="44">
        <f t="shared" si="7"/>
        <v>6288</v>
      </c>
      <c r="F27" s="44">
        <f t="shared" si="7"/>
        <v>18903</v>
      </c>
      <c r="G27" s="385">
        <f t="shared" si="7"/>
        <v>18903</v>
      </c>
      <c r="H27" s="44">
        <f t="shared" si="7"/>
        <v>1270</v>
      </c>
      <c r="I27" s="44">
        <f t="shared" si="7"/>
        <v>0</v>
      </c>
      <c r="J27" s="44">
        <f t="shared" si="7"/>
        <v>1494</v>
      </c>
      <c r="K27" s="44">
        <f t="shared" si="7"/>
        <v>0</v>
      </c>
      <c r="L27" s="44">
        <f t="shared" si="7"/>
        <v>16139</v>
      </c>
      <c r="M27" s="44">
        <f t="shared" si="7"/>
        <v>0</v>
      </c>
      <c r="N27" s="33"/>
    </row>
    <row r="28" spans="1:14" s="56" customFormat="1" ht="25.5" customHeight="1">
      <c r="A28" s="28"/>
      <c r="B28" s="29"/>
      <c r="C28" s="44">
        <f>C31+C34+C37</f>
        <v>0</v>
      </c>
      <c r="D28" s="44">
        <f aca="true" t="shared" si="8" ref="D28:M28">D31+D34+D37</f>
        <v>0</v>
      </c>
      <c r="E28" s="44">
        <f t="shared" si="8"/>
        <v>0</v>
      </c>
      <c r="F28" s="44">
        <f t="shared" si="8"/>
        <v>0</v>
      </c>
      <c r="G28" s="385">
        <f t="shared" si="8"/>
        <v>0</v>
      </c>
      <c r="H28" s="44">
        <f t="shared" si="8"/>
        <v>0</v>
      </c>
      <c r="I28" s="44">
        <f t="shared" si="8"/>
        <v>0</v>
      </c>
      <c r="J28" s="44">
        <f t="shared" si="8"/>
        <v>0</v>
      </c>
      <c r="K28" s="44">
        <f t="shared" si="8"/>
        <v>0</v>
      </c>
      <c r="L28" s="44">
        <f t="shared" si="8"/>
        <v>0</v>
      </c>
      <c r="M28" s="44">
        <f t="shared" si="8"/>
        <v>0</v>
      </c>
      <c r="N28" s="33"/>
    </row>
    <row r="29" spans="1:14" s="56" customFormat="1" ht="18" customHeight="1">
      <c r="A29" s="45"/>
      <c r="B29" s="161"/>
      <c r="C29" s="24"/>
      <c r="D29" s="24"/>
      <c r="E29" s="24"/>
      <c r="F29" s="24"/>
      <c r="G29" s="279">
        <f>G27-16695</f>
        <v>2208</v>
      </c>
      <c r="H29" s="275"/>
      <c r="I29" s="275"/>
      <c r="J29" s="274">
        <f>J27-915</f>
        <v>579</v>
      </c>
      <c r="K29" s="275"/>
      <c r="L29" s="274">
        <f>L27-15780</f>
        <v>359</v>
      </c>
      <c r="M29" s="276"/>
      <c r="N29" s="33"/>
    </row>
    <row r="30" spans="1:14" s="56" customFormat="1" ht="25.5" customHeight="1">
      <c r="A30" s="28" t="s">
        <v>1</v>
      </c>
      <c r="B30" s="47" t="s">
        <v>2</v>
      </c>
      <c r="C30" s="57">
        <v>0</v>
      </c>
      <c r="D30" s="57">
        <v>0</v>
      </c>
      <c r="E30" s="57">
        <v>0</v>
      </c>
      <c r="F30" s="57">
        <f>D30-E30</f>
        <v>0</v>
      </c>
      <c r="G30" s="385">
        <f>SUM(H30:M30)</f>
        <v>0</v>
      </c>
      <c r="H30" s="57">
        <v>0</v>
      </c>
      <c r="I30" s="57">
        <v>0</v>
      </c>
      <c r="J30" s="57">
        <v>0</v>
      </c>
      <c r="K30" s="57">
        <v>0</v>
      </c>
      <c r="L30" s="57">
        <v>0</v>
      </c>
      <c r="M30" s="57">
        <v>0</v>
      </c>
      <c r="N30" s="33"/>
    </row>
    <row r="31" spans="1:14" s="56" customFormat="1" ht="25.5" customHeight="1">
      <c r="A31" s="28"/>
      <c r="B31" s="48" t="s">
        <v>3</v>
      </c>
      <c r="C31" s="57">
        <v>0</v>
      </c>
      <c r="D31" s="57">
        <v>0</v>
      </c>
      <c r="E31" s="57">
        <v>0</v>
      </c>
      <c r="F31" s="57">
        <f>D31-E31</f>
        <v>0</v>
      </c>
      <c r="G31" s="385">
        <f>SUM(H31:M31)</f>
        <v>0</v>
      </c>
      <c r="H31" s="57">
        <v>0</v>
      </c>
      <c r="I31" s="57">
        <v>0</v>
      </c>
      <c r="J31" s="57">
        <v>0</v>
      </c>
      <c r="K31" s="57">
        <v>0</v>
      </c>
      <c r="L31" s="57">
        <v>0</v>
      </c>
      <c r="M31" s="57">
        <v>0</v>
      </c>
      <c r="N31" s="33"/>
    </row>
    <row r="32" spans="1:14" s="56" customFormat="1" ht="18.75" customHeight="1">
      <c r="A32" s="28"/>
      <c r="B32" s="161"/>
      <c r="C32" s="24"/>
      <c r="D32" s="24"/>
      <c r="E32" s="24"/>
      <c r="F32" s="24"/>
      <c r="G32" s="360"/>
      <c r="H32" s="24"/>
      <c r="I32" s="24"/>
      <c r="J32" s="46"/>
      <c r="K32" s="46"/>
      <c r="L32" s="24"/>
      <c r="M32" s="24"/>
      <c r="N32" s="33"/>
    </row>
    <row r="33" spans="1:14" s="56" customFormat="1" ht="25.5" customHeight="1">
      <c r="A33" s="28" t="s">
        <v>4</v>
      </c>
      <c r="B33" s="47" t="s">
        <v>10</v>
      </c>
      <c r="C33" s="57">
        <v>0</v>
      </c>
      <c r="D33" s="57">
        <v>0</v>
      </c>
      <c r="E33" s="57">
        <v>0</v>
      </c>
      <c r="F33" s="57">
        <f>D33-E33</f>
        <v>0</v>
      </c>
      <c r="G33" s="385">
        <f>SUM(H33:M33)</f>
        <v>0</v>
      </c>
      <c r="H33" s="57">
        <v>0</v>
      </c>
      <c r="I33" s="57">
        <v>0</v>
      </c>
      <c r="J33" s="57">
        <v>0</v>
      </c>
      <c r="K33" s="57">
        <v>0</v>
      </c>
      <c r="L33" s="57">
        <v>0</v>
      </c>
      <c r="M33" s="57">
        <v>0</v>
      </c>
      <c r="N33" s="33"/>
    </row>
    <row r="34" spans="1:14" s="56" customFormat="1" ht="25.5" customHeight="1">
      <c r="A34" s="28"/>
      <c r="B34" s="48" t="s">
        <v>5</v>
      </c>
      <c r="C34" s="57">
        <v>0</v>
      </c>
      <c r="D34" s="57">
        <v>0</v>
      </c>
      <c r="E34" s="57">
        <v>0</v>
      </c>
      <c r="F34" s="57">
        <f>D34-E34</f>
        <v>0</v>
      </c>
      <c r="G34" s="385">
        <f>SUM(H34:M34)</f>
        <v>0</v>
      </c>
      <c r="H34" s="57">
        <v>0</v>
      </c>
      <c r="I34" s="57">
        <v>0</v>
      </c>
      <c r="J34" s="57">
        <v>0</v>
      </c>
      <c r="K34" s="57">
        <v>0</v>
      </c>
      <c r="L34" s="57">
        <v>0</v>
      </c>
      <c r="M34" s="57">
        <v>0</v>
      </c>
      <c r="N34" s="33"/>
    </row>
    <row r="35" spans="1:14" s="56" customFormat="1" ht="16.5" customHeight="1">
      <c r="A35" s="28"/>
      <c r="B35" s="43"/>
      <c r="C35" s="46"/>
      <c r="D35" s="46"/>
      <c r="E35" s="46"/>
      <c r="F35" s="46"/>
      <c r="G35" s="46"/>
      <c r="H35" s="46"/>
      <c r="I35" s="46"/>
      <c r="J35" s="46"/>
      <c r="K35" s="46"/>
      <c r="L35" s="46"/>
      <c r="M35" s="46"/>
      <c r="N35" s="33"/>
    </row>
    <row r="36" spans="1:14" s="56" customFormat="1" ht="25.5" customHeight="1">
      <c r="A36" s="28" t="s">
        <v>6</v>
      </c>
      <c r="B36" s="47" t="s">
        <v>91</v>
      </c>
      <c r="C36" s="57">
        <f>C39+C40+C41</f>
        <v>25191</v>
      </c>
      <c r="D36" s="57">
        <f aca="true" t="shared" si="9" ref="D36:M36">D39+D40+D41</f>
        <v>25191</v>
      </c>
      <c r="E36" s="57">
        <f t="shared" si="9"/>
        <v>6288</v>
      </c>
      <c r="F36" s="57">
        <f t="shared" si="9"/>
        <v>18903</v>
      </c>
      <c r="G36" s="385">
        <f t="shared" si="9"/>
        <v>18903</v>
      </c>
      <c r="H36" s="57">
        <f t="shared" si="9"/>
        <v>1270</v>
      </c>
      <c r="I36" s="57">
        <f t="shared" si="9"/>
        <v>0</v>
      </c>
      <c r="J36" s="57">
        <f t="shared" si="9"/>
        <v>1494</v>
      </c>
      <c r="K36" s="57">
        <f t="shared" si="9"/>
        <v>0</v>
      </c>
      <c r="L36" s="57">
        <f t="shared" si="9"/>
        <v>16139</v>
      </c>
      <c r="M36" s="57">
        <f t="shared" si="9"/>
        <v>0</v>
      </c>
      <c r="N36" s="33"/>
    </row>
    <row r="37" spans="1:14" s="56" customFormat="1" ht="25.5" customHeight="1">
      <c r="A37" s="28"/>
      <c r="B37" s="48" t="s">
        <v>12</v>
      </c>
      <c r="C37" s="46"/>
      <c r="D37" s="46"/>
      <c r="E37" s="46"/>
      <c r="F37" s="46"/>
      <c r="G37" s="46"/>
      <c r="H37" s="46"/>
      <c r="I37" s="46"/>
      <c r="J37" s="46"/>
      <c r="K37" s="46"/>
      <c r="L37" s="46"/>
      <c r="M37" s="46"/>
      <c r="N37" s="33"/>
    </row>
    <row r="38" spans="1:14" s="56" customFormat="1" ht="25.5" customHeight="1">
      <c r="A38" s="45"/>
      <c r="B38" s="26" t="s">
        <v>9</v>
      </c>
      <c r="C38" s="24"/>
      <c r="D38" s="14"/>
      <c r="E38" s="14"/>
      <c r="F38" s="14"/>
      <c r="G38" s="14"/>
      <c r="H38" s="14"/>
      <c r="I38" s="14"/>
      <c r="J38" s="14"/>
      <c r="K38" s="14"/>
      <c r="L38" s="24"/>
      <c r="M38" s="24"/>
      <c r="N38" s="33"/>
    </row>
    <row r="39" spans="1:14" s="56" customFormat="1" ht="25.5" customHeight="1">
      <c r="A39" s="58"/>
      <c r="B39" s="34" t="s">
        <v>0</v>
      </c>
      <c r="C39" s="24">
        <f>'Studii si proiecte 2022'!D57</f>
        <v>21653</v>
      </c>
      <c r="D39" s="24">
        <f>'Studii si proiecte 2022'!E57</f>
        <v>21653</v>
      </c>
      <c r="E39" s="24">
        <f>'Studii si proiecte 2022'!F57</f>
        <v>6288</v>
      </c>
      <c r="F39" s="24">
        <f>'Studii si proiecte 2022'!G57</f>
        <v>15365</v>
      </c>
      <c r="G39" s="382">
        <f>'Studii si proiecte 2022'!H57</f>
        <v>15365</v>
      </c>
      <c r="H39" s="24">
        <f>'Studii si proiecte 2022'!I57</f>
        <v>1270</v>
      </c>
      <c r="I39" s="24">
        <f>'Studii si proiecte 2022'!J57</f>
        <v>0</v>
      </c>
      <c r="J39" s="24">
        <f>'Studii si proiecte 2022'!K57</f>
        <v>550</v>
      </c>
      <c r="K39" s="24">
        <f>'Studii si proiecte 2022'!L57</f>
        <v>0</v>
      </c>
      <c r="L39" s="24">
        <f>'Studii si proiecte 2022'!M57</f>
        <v>13545</v>
      </c>
      <c r="M39" s="24">
        <f>'Studii si proiecte 2022'!N57</f>
        <v>0</v>
      </c>
      <c r="N39" s="33"/>
    </row>
    <row r="40" spans="1:14" s="56" customFormat="1" ht="25.5" customHeight="1">
      <c r="A40" s="59"/>
      <c r="B40" s="169" t="s">
        <v>82</v>
      </c>
      <c r="C40" s="60">
        <f>'Dotari 2022'!D20</f>
        <v>3538</v>
      </c>
      <c r="D40" s="60">
        <f>'Dotari 2022'!E20</f>
        <v>3538</v>
      </c>
      <c r="E40" s="60">
        <f>'Dotari 2022'!F20</f>
        <v>0</v>
      </c>
      <c r="F40" s="60">
        <f>'Dotari 2022'!G20</f>
        <v>3538</v>
      </c>
      <c r="G40" s="384">
        <f>'Dotari 2022'!H20</f>
        <v>3538</v>
      </c>
      <c r="H40" s="60">
        <f>'Dotari 2022'!I20</f>
        <v>0</v>
      </c>
      <c r="I40" s="60">
        <f>'Dotari 2022'!J20</f>
        <v>0</v>
      </c>
      <c r="J40" s="60">
        <f>'Dotari 2022'!K20</f>
        <v>944</v>
      </c>
      <c r="K40" s="60">
        <f>'Dotari 2022'!L20</f>
        <v>0</v>
      </c>
      <c r="L40" s="60">
        <f>'Dotari 2022'!M20</f>
        <v>2594</v>
      </c>
      <c r="M40" s="60">
        <f>'Dotari 2022'!N20</f>
        <v>0</v>
      </c>
      <c r="N40" s="33"/>
    </row>
    <row r="41" spans="1:14" s="56" customFormat="1" ht="25.5" customHeight="1">
      <c r="A41" s="59"/>
      <c r="B41" s="169" t="s">
        <v>77</v>
      </c>
      <c r="C41" s="60">
        <f>'Alte chelt 2022'!D11</f>
        <v>0</v>
      </c>
      <c r="D41" s="60">
        <f>'Alte chelt 2022'!E11</f>
        <v>0</v>
      </c>
      <c r="E41" s="60">
        <f>'Alte chelt 2022'!F11</f>
        <v>0</v>
      </c>
      <c r="F41" s="60">
        <f>'Alte chelt 2022'!G11</f>
        <v>0</v>
      </c>
      <c r="G41" s="384">
        <f>'Alte chelt 2022'!H11</f>
        <v>0</v>
      </c>
      <c r="H41" s="60">
        <f>'Alte chelt 2022'!I11</f>
        <v>0</v>
      </c>
      <c r="I41" s="60">
        <f>'Alte chelt 2022'!J11</f>
        <v>0</v>
      </c>
      <c r="J41" s="60">
        <f>'Alte chelt 2022'!K11</f>
        <v>0</v>
      </c>
      <c r="K41" s="60">
        <f>'Alte chelt 2022'!L11</f>
        <v>0</v>
      </c>
      <c r="L41" s="60">
        <f>'Alte chelt 2022'!M11</f>
        <v>0</v>
      </c>
      <c r="M41" s="60">
        <f>'Alte chelt 2022'!N11</f>
        <v>0</v>
      </c>
      <c r="N41" s="33"/>
    </row>
    <row r="42" spans="1:14" s="56" customFormat="1" ht="30.75" customHeight="1">
      <c r="A42" s="59"/>
      <c r="B42" s="169"/>
      <c r="C42" s="60"/>
      <c r="D42" s="60"/>
      <c r="E42" s="60"/>
      <c r="F42" s="60"/>
      <c r="G42" s="60"/>
      <c r="H42" s="60"/>
      <c r="I42" s="60"/>
      <c r="J42" s="60"/>
      <c r="K42" s="60"/>
      <c r="L42" s="60"/>
      <c r="M42" s="60"/>
      <c r="N42" s="33"/>
    </row>
    <row r="43" spans="1:14" s="16" customFormat="1" ht="23.25" customHeight="1">
      <c r="A43" s="21"/>
      <c r="B43" s="178" t="s">
        <v>55</v>
      </c>
      <c r="C43" s="23" t="s">
        <v>56</v>
      </c>
      <c r="D43" s="24"/>
      <c r="E43" s="24"/>
      <c r="F43" s="24"/>
      <c r="G43" s="10"/>
      <c r="H43" s="10"/>
      <c r="I43" s="10"/>
      <c r="J43" s="10"/>
      <c r="K43" s="10"/>
      <c r="L43" s="10"/>
      <c r="M43" s="10" t="s">
        <v>16</v>
      </c>
      <c r="N43" s="33"/>
    </row>
    <row r="44" spans="1:14" s="16" customFormat="1" ht="22.5" customHeight="1">
      <c r="A44" s="25"/>
      <c r="B44" s="26" t="s">
        <v>9</v>
      </c>
      <c r="C44" s="27">
        <f>C47+C50+C53</f>
        <v>1928</v>
      </c>
      <c r="D44" s="27">
        <f aca="true" t="shared" si="10" ref="D44:M44">D47+D50+D53</f>
        <v>1928</v>
      </c>
      <c r="E44" s="27">
        <f t="shared" si="10"/>
        <v>32</v>
      </c>
      <c r="F44" s="27">
        <f t="shared" si="10"/>
        <v>1896</v>
      </c>
      <c r="G44" s="376">
        <f t="shared" si="10"/>
        <v>1896</v>
      </c>
      <c r="H44" s="27">
        <f t="shared" si="10"/>
        <v>0</v>
      </c>
      <c r="I44" s="27">
        <f t="shared" si="10"/>
        <v>0</v>
      </c>
      <c r="J44" s="27">
        <f t="shared" si="10"/>
        <v>0</v>
      </c>
      <c r="K44" s="27">
        <f t="shared" si="10"/>
        <v>0</v>
      </c>
      <c r="L44" s="27">
        <f t="shared" si="10"/>
        <v>1896</v>
      </c>
      <c r="M44" s="27">
        <f t="shared" si="10"/>
        <v>0</v>
      </c>
      <c r="N44" s="33"/>
    </row>
    <row r="45" spans="1:14" s="16" customFormat="1" ht="22.5" customHeight="1">
      <c r="A45" s="28"/>
      <c r="B45" s="29"/>
      <c r="C45" s="27">
        <f>C48+C51+C54</f>
        <v>0</v>
      </c>
      <c r="D45" s="27">
        <f aca="true" t="shared" si="11" ref="D45:M45">D48+D51+D54</f>
        <v>0</v>
      </c>
      <c r="E45" s="27">
        <f t="shared" si="11"/>
        <v>0</v>
      </c>
      <c r="F45" s="27">
        <f t="shared" si="11"/>
        <v>0</v>
      </c>
      <c r="G45" s="376">
        <f t="shared" si="11"/>
        <v>0</v>
      </c>
      <c r="H45" s="27">
        <f t="shared" si="11"/>
        <v>0</v>
      </c>
      <c r="I45" s="27">
        <f t="shared" si="11"/>
        <v>0</v>
      </c>
      <c r="J45" s="27">
        <f t="shared" si="11"/>
        <v>0</v>
      </c>
      <c r="K45" s="27">
        <f t="shared" si="11"/>
        <v>0</v>
      </c>
      <c r="L45" s="27">
        <f t="shared" si="11"/>
        <v>0</v>
      </c>
      <c r="M45" s="27">
        <f t="shared" si="11"/>
        <v>0</v>
      </c>
      <c r="N45" s="33"/>
    </row>
    <row r="46" spans="1:14" s="16" customFormat="1" ht="22.5" customHeight="1">
      <c r="A46" s="28"/>
      <c r="B46" s="29"/>
      <c r="C46" s="61"/>
      <c r="D46" s="61"/>
      <c r="E46" s="61"/>
      <c r="F46" s="61"/>
      <c r="G46" s="279">
        <f>G44-2016</f>
        <v>-120</v>
      </c>
      <c r="H46" s="274"/>
      <c r="I46" s="274"/>
      <c r="J46" s="274"/>
      <c r="K46" s="274"/>
      <c r="L46" s="274">
        <f>L44-2016</f>
        <v>-120</v>
      </c>
      <c r="M46" s="261"/>
      <c r="N46" s="33"/>
    </row>
    <row r="47" spans="1:14" s="16" customFormat="1" ht="22.5" customHeight="1">
      <c r="A47" s="28" t="s">
        <v>1</v>
      </c>
      <c r="B47" s="47" t="s">
        <v>2</v>
      </c>
      <c r="C47" s="11">
        <v>0</v>
      </c>
      <c r="D47" s="11">
        <v>0</v>
      </c>
      <c r="E47" s="11">
        <v>0</v>
      </c>
      <c r="F47" s="11">
        <f>D47-E47</f>
        <v>0</v>
      </c>
      <c r="G47" s="376">
        <f>SUM(H47:M47)</f>
        <v>0</v>
      </c>
      <c r="H47" s="11">
        <v>0</v>
      </c>
      <c r="I47" s="11">
        <v>0</v>
      </c>
      <c r="J47" s="11">
        <v>0</v>
      </c>
      <c r="K47" s="11">
        <v>0</v>
      </c>
      <c r="L47" s="11">
        <v>0</v>
      </c>
      <c r="M47" s="11">
        <v>0</v>
      </c>
      <c r="N47" s="33"/>
    </row>
    <row r="48" spans="1:14" s="16" customFormat="1" ht="22.5" customHeight="1">
      <c r="A48" s="28"/>
      <c r="B48" s="48" t="s">
        <v>3</v>
      </c>
      <c r="C48" s="11">
        <v>0</v>
      </c>
      <c r="D48" s="11">
        <v>0</v>
      </c>
      <c r="E48" s="11">
        <v>0</v>
      </c>
      <c r="F48" s="11">
        <f>D48-E48</f>
        <v>0</v>
      </c>
      <c r="G48" s="376">
        <f>SUM(H48:M48)</f>
        <v>0</v>
      </c>
      <c r="H48" s="11">
        <v>0</v>
      </c>
      <c r="I48" s="11">
        <v>0</v>
      </c>
      <c r="J48" s="11">
        <v>0</v>
      </c>
      <c r="K48" s="11">
        <v>0</v>
      </c>
      <c r="L48" s="11">
        <v>0</v>
      </c>
      <c r="M48" s="11">
        <v>0</v>
      </c>
      <c r="N48" s="33"/>
    </row>
    <row r="49" spans="1:14" s="16" customFormat="1" ht="22.5" customHeight="1">
      <c r="A49" s="59"/>
      <c r="B49" s="169"/>
      <c r="C49" s="62"/>
      <c r="D49" s="62"/>
      <c r="E49" s="62"/>
      <c r="F49" s="62"/>
      <c r="G49" s="62"/>
      <c r="H49" s="62"/>
      <c r="I49" s="62"/>
      <c r="J49" s="62"/>
      <c r="K49" s="62"/>
      <c r="L49" s="62"/>
      <c r="M49" s="62"/>
      <c r="N49" s="33"/>
    </row>
    <row r="50" spans="1:14" s="16" customFormat="1" ht="22.5" customHeight="1">
      <c r="A50" s="28" t="s">
        <v>4</v>
      </c>
      <c r="B50" s="47" t="s">
        <v>10</v>
      </c>
      <c r="C50" s="11">
        <v>0</v>
      </c>
      <c r="D50" s="11">
        <v>0</v>
      </c>
      <c r="E50" s="11">
        <v>0</v>
      </c>
      <c r="F50" s="11">
        <f>D50-E50</f>
        <v>0</v>
      </c>
      <c r="G50" s="376">
        <f>SUM(H50:M50)</f>
        <v>0</v>
      </c>
      <c r="H50" s="11">
        <v>0</v>
      </c>
      <c r="I50" s="11">
        <v>0</v>
      </c>
      <c r="J50" s="11">
        <v>0</v>
      </c>
      <c r="K50" s="11">
        <v>0</v>
      </c>
      <c r="L50" s="11">
        <v>0</v>
      </c>
      <c r="M50" s="11">
        <v>0</v>
      </c>
      <c r="N50" s="33"/>
    </row>
    <row r="51" spans="1:14" s="16" customFormat="1" ht="22.5" customHeight="1">
      <c r="A51" s="28"/>
      <c r="B51" s="48" t="s">
        <v>5</v>
      </c>
      <c r="C51" s="11">
        <v>0</v>
      </c>
      <c r="D51" s="11">
        <v>0</v>
      </c>
      <c r="E51" s="11">
        <v>0</v>
      </c>
      <c r="F51" s="11">
        <f>D51-E51</f>
        <v>0</v>
      </c>
      <c r="G51" s="376">
        <f>SUM(H51:M51)</f>
        <v>0</v>
      </c>
      <c r="H51" s="11">
        <v>0</v>
      </c>
      <c r="I51" s="11">
        <v>0</v>
      </c>
      <c r="J51" s="11">
        <v>0</v>
      </c>
      <c r="K51" s="11">
        <v>0</v>
      </c>
      <c r="L51" s="11">
        <v>0</v>
      </c>
      <c r="M51" s="11">
        <v>0</v>
      </c>
      <c r="N51" s="33"/>
    </row>
    <row r="52" spans="1:14" s="16" customFormat="1" ht="22.5" customHeight="1">
      <c r="A52" s="28"/>
      <c r="B52" s="43"/>
      <c r="C52" s="10"/>
      <c r="D52" s="10"/>
      <c r="E52" s="10"/>
      <c r="F52" s="10"/>
      <c r="G52" s="10"/>
      <c r="H52" s="10"/>
      <c r="I52" s="10"/>
      <c r="J52" s="10"/>
      <c r="K52" s="10"/>
      <c r="L52" s="10"/>
      <c r="M52" s="10"/>
      <c r="N52" s="33"/>
    </row>
    <row r="53" spans="1:14" s="16" customFormat="1" ht="22.5" customHeight="1">
      <c r="A53" s="28" t="s">
        <v>6</v>
      </c>
      <c r="B53" s="47" t="s">
        <v>91</v>
      </c>
      <c r="C53" s="11">
        <f>C57+C58+C56</f>
        <v>1928</v>
      </c>
      <c r="D53" s="11">
        <f aca="true" t="shared" si="12" ref="D53:M53">D57+D58+D56</f>
        <v>1928</v>
      </c>
      <c r="E53" s="11">
        <f t="shared" si="12"/>
        <v>32</v>
      </c>
      <c r="F53" s="11">
        <f t="shared" si="12"/>
        <v>1896</v>
      </c>
      <c r="G53" s="376">
        <f t="shared" si="12"/>
        <v>1896</v>
      </c>
      <c r="H53" s="11">
        <f t="shared" si="12"/>
        <v>0</v>
      </c>
      <c r="I53" s="11">
        <f t="shared" si="12"/>
        <v>0</v>
      </c>
      <c r="J53" s="11">
        <f t="shared" si="12"/>
        <v>0</v>
      </c>
      <c r="K53" s="11">
        <f t="shared" si="12"/>
        <v>0</v>
      </c>
      <c r="L53" s="11">
        <f t="shared" si="12"/>
        <v>1896</v>
      </c>
      <c r="M53" s="11">
        <f t="shared" si="12"/>
        <v>0</v>
      </c>
      <c r="N53" s="33"/>
    </row>
    <row r="54" spans="1:14" s="16" customFormat="1" ht="22.5" customHeight="1">
      <c r="A54" s="28"/>
      <c r="B54" s="48" t="s">
        <v>12</v>
      </c>
      <c r="C54" s="10"/>
      <c r="D54" s="10"/>
      <c r="E54" s="10"/>
      <c r="F54" s="10"/>
      <c r="G54" s="10"/>
      <c r="H54" s="10"/>
      <c r="I54" s="10"/>
      <c r="J54" s="10"/>
      <c r="K54" s="10"/>
      <c r="L54" s="10"/>
      <c r="M54" s="10"/>
      <c r="N54" s="33"/>
    </row>
    <row r="55" spans="1:14" s="16" customFormat="1" ht="22.5" customHeight="1">
      <c r="A55" s="45"/>
      <c r="B55" s="26" t="s">
        <v>9</v>
      </c>
      <c r="C55" s="63"/>
      <c r="D55" s="63"/>
      <c r="E55" s="63"/>
      <c r="F55" s="63"/>
      <c r="G55" s="63"/>
      <c r="H55" s="63"/>
      <c r="I55" s="63"/>
      <c r="J55" s="10"/>
      <c r="K55" s="10"/>
      <c r="L55" s="63"/>
      <c r="M55" s="63"/>
      <c r="N55" s="33"/>
    </row>
    <row r="56" spans="1:14" s="16" customFormat="1" ht="22.5" customHeight="1">
      <c r="A56" s="45"/>
      <c r="B56" s="34" t="s">
        <v>0</v>
      </c>
      <c r="C56" s="24">
        <f>'Studii si proiecte 2022'!D63</f>
        <v>0</v>
      </c>
      <c r="D56" s="24">
        <f>'Studii si proiecte 2022'!E63</f>
        <v>0</v>
      </c>
      <c r="E56" s="24">
        <f>'Studii si proiecte 2022'!F63</f>
        <v>0</v>
      </c>
      <c r="F56" s="24">
        <f>'Studii si proiecte 2022'!G63</f>
        <v>0</v>
      </c>
      <c r="G56" s="382">
        <f>'Studii si proiecte 2022'!H63</f>
        <v>0</v>
      </c>
      <c r="H56" s="24">
        <f>'Studii si proiecte 2022'!I63</f>
        <v>0</v>
      </c>
      <c r="I56" s="24">
        <f>'Studii si proiecte 2022'!J63</f>
        <v>0</v>
      </c>
      <c r="J56" s="24">
        <f>'Studii si proiecte 2022'!K63</f>
        <v>0</v>
      </c>
      <c r="K56" s="24">
        <f>'Studii si proiecte 2022'!L63</f>
        <v>0</v>
      </c>
      <c r="L56" s="24">
        <f>'Studii si proiecte 2022'!M63</f>
        <v>0</v>
      </c>
      <c r="M56" s="24">
        <f>'Studii si proiecte 2022'!N63</f>
        <v>0</v>
      </c>
      <c r="N56" s="33"/>
    </row>
    <row r="57" spans="1:14" s="16" customFormat="1" ht="22.5" customHeight="1">
      <c r="A57" s="59"/>
      <c r="B57" s="169" t="s">
        <v>83</v>
      </c>
      <c r="C57" s="64">
        <f>'Dotari 2022'!D29</f>
        <v>1928</v>
      </c>
      <c r="D57" s="64">
        <f>'Dotari 2022'!E29</f>
        <v>1928</v>
      </c>
      <c r="E57" s="64">
        <f>'Dotari 2022'!F29</f>
        <v>32</v>
      </c>
      <c r="F57" s="64">
        <f>'Dotari 2022'!G29</f>
        <v>1896</v>
      </c>
      <c r="G57" s="383">
        <f>'Dotari 2022'!H29</f>
        <v>1896</v>
      </c>
      <c r="H57" s="64">
        <f>'Dotari 2022'!I29</f>
        <v>0</v>
      </c>
      <c r="I57" s="64">
        <f>'Dotari 2022'!J29</f>
        <v>0</v>
      </c>
      <c r="J57" s="64">
        <f>'Dotari 2022'!K29</f>
        <v>0</v>
      </c>
      <c r="K57" s="64">
        <f>'Dotari 2022'!L29</f>
        <v>0</v>
      </c>
      <c r="L57" s="64">
        <f>'Dotari 2022'!M29</f>
        <v>1896</v>
      </c>
      <c r="M57" s="64">
        <f>'Dotari 2022'!N29</f>
        <v>0</v>
      </c>
      <c r="N57" s="33"/>
    </row>
    <row r="58" spans="1:14" s="16" customFormat="1" ht="22.5" customHeight="1">
      <c r="A58" s="59"/>
      <c r="B58" s="169" t="s">
        <v>85</v>
      </c>
      <c r="C58" s="64">
        <f>'Alte chelt 2022'!D17</f>
        <v>0</v>
      </c>
      <c r="D58" s="64">
        <f>'Alte chelt 2022'!E17</f>
        <v>0</v>
      </c>
      <c r="E58" s="64">
        <f>'Alte chelt 2022'!F17</f>
        <v>0</v>
      </c>
      <c r="F58" s="64">
        <f>'Alte chelt 2022'!G17</f>
        <v>0</v>
      </c>
      <c r="G58" s="383">
        <f>'Alte chelt 2022'!H17</f>
        <v>0</v>
      </c>
      <c r="H58" s="64">
        <f>'Alte chelt 2022'!I17</f>
        <v>0</v>
      </c>
      <c r="I58" s="64">
        <f>'Alte chelt 2022'!J17</f>
        <v>0</v>
      </c>
      <c r="J58" s="64">
        <f>'Alte chelt 2022'!K17</f>
        <v>0</v>
      </c>
      <c r="K58" s="64">
        <f>'Alte chelt 2022'!L17</f>
        <v>0</v>
      </c>
      <c r="L58" s="64">
        <f>'Alte chelt 2022'!M17</f>
        <v>0</v>
      </c>
      <c r="M58" s="64">
        <f>'Alte chelt 2022'!N17</f>
        <v>0</v>
      </c>
      <c r="N58" s="33"/>
    </row>
    <row r="59" spans="1:14" s="16" customFormat="1" ht="22.5" customHeight="1">
      <c r="A59" s="59"/>
      <c r="B59" s="169"/>
      <c r="C59" s="64"/>
      <c r="D59" s="64"/>
      <c r="E59" s="64"/>
      <c r="F59" s="64"/>
      <c r="G59" s="362"/>
      <c r="H59" s="64"/>
      <c r="I59" s="64"/>
      <c r="J59" s="64"/>
      <c r="K59" s="64"/>
      <c r="L59" s="64"/>
      <c r="M59" s="64"/>
      <c r="N59" s="33"/>
    </row>
    <row r="60" spans="1:14" s="16" customFormat="1" ht="25.5" customHeight="1">
      <c r="A60" s="59"/>
      <c r="B60" s="169"/>
      <c r="C60" s="64"/>
      <c r="D60" s="64"/>
      <c r="E60" s="64"/>
      <c r="F60" s="64"/>
      <c r="G60" s="64"/>
      <c r="H60" s="64"/>
      <c r="I60" s="64"/>
      <c r="J60" s="64"/>
      <c r="K60" s="64"/>
      <c r="L60" s="64"/>
      <c r="M60" s="64"/>
      <c r="N60" s="33"/>
    </row>
    <row r="61" spans="1:14" s="16" customFormat="1" ht="18" customHeight="1">
      <c r="A61" s="59"/>
      <c r="B61" s="169"/>
      <c r="C61" s="64"/>
      <c r="D61" s="64"/>
      <c r="E61" s="64"/>
      <c r="F61" s="64"/>
      <c r="G61" s="64"/>
      <c r="H61" s="64"/>
      <c r="I61" s="64"/>
      <c r="J61" s="64"/>
      <c r="K61" s="64"/>
      <c r="L61" s="64"/>
      <c r="M61" s="64"/>
      <c r="N61" s="33"/>
    </row>
    <row r="62" spans="1:14" s="16" customFormat="1" ht="27.75" customHeight="1">
      <c r="A62" s="260"/>
      <c r="B62" s="170" t="s">
        <v>62</v>
      </c>
      <c r="C62" s="18" t="s">
        <v>63</v>
      </c>
      <c r="D62" s="18"/>
      <c r="E62" s="18"/>
      <c r="F62" s="18"/>
      <c r="G62" s="277">
        <f>G63-83346</f>
        <v>917</v>
      </c>
      <c r="H62" s="277"/>
      <c r="I62" s="277"/>
      <c r="J62" s="277">
        <f>J63-43835</f>
        <v>-1015</v>
      </c>
      <c r="K62" s="277"/>
      <c r="L62" s="278">
        <f>L63-13249</f>
        <v>-6713</v>
      </c>
      <c r="M62" s="15" t="s">
        <v>16</v>
      </c>
      <c r="N62" s="33"/>
    </row>
    <row r="63" spans="1:14" s="16" customFormat="1" ht="25.5" customHeight="1">
      <c r="A63" s="66"/>
      <c r="B63" s="26" t="s">
        <v>9</v>
      </c>
      <c r="C63" s="75">
        <f aca="true" t="shared" si="13" ref="C63:M63">C66+C110+C177</f>
        <v>228579</v>
      </c>
      <c r="D63" s="75">
        <f t="shared" si="13"/>
        <v>255434</v>
      </c>
      <c r="E63" s="75">
        <f t="shared" si="13"/>
        <v>43942</v>
      </c>
      <c r="F63" s="75">
        <f t="shared" si="13"/>
        <v>211492</v>
      </c>
      <c r="G63" s="377">
        <f t="shared" si="13"/>
        <v>84263</v>
      </c>
      <c r="H63" s="75">
        <f t="shared" si="13"/>
        <v>28282</v>
      </c>
      <c r="I63" s="75">
        <f t="shared" si="13"/>
        <v>0</v>
      </c>
      <c r="J63" s="75">
        <f t="shared" si="13"/>
        <v>42820</v>
      </c>
      <c r="K63" s="75">
        <f t="shared" si="13"/>
        <v>0</v>
      </c>
      <c r="L63" s="75">
        <f t="shared" si="13"/>
        <v>6536</v>
      </c>
      <c r="M63" s="75">
        <f t="shared" si="13"/>
        <v>6625</v>
      </c>
      <c r="N63" s="33"/>
    </row>
    <row r="64" spans="1:14" s="16" customFormat="1" ht="25.5" customHeight="1">
      <c r="A64" s="66"/>
      <c r="B64" s="34"/>
      <c r="C64" s="75">
        <f aca="true" t="shared" si="14" ref="C64:M64">C67+C111+C178</f>
        <v>182296</v>
      </c>
      <c r="D64" s="75">
        <f t="shared" si="14"/>
        <v>205077</v>
      </c>
      <c r="E64" s="75">
        <f t="shared" si="14"/>
        <v>33648</v>
      </c>
      <c r="F64" s="75">
        <f t="shared" si="14"/>
        <v>171429</v>
      </c>
      <c r="G64" s="377">
        <f t="shared" si="14"/>
        <v>66550</v>
      </c>
      <c r="H64" s="75">
        <f t="shared" si="14"/>
        <v>23612</v>
      </c>
      <c r="I64" s="75">
        <f t="shared" si="14"/>
        <v>0</v>
      </c>
      <c r="J64" s="75">
        <f t="shared" si="14"/>
        <v>36268</v>
      </c>
      <c r="K64" s="75">
        <f t="shared" si="14"/>
        <v>0</v>
      </c>
      <c r="L64" s="75">
        <f t="shared" si="14"/>
        <v>380</v>
      </c>
      <c r="M64" s="75">
        <f t="shared" si="14"/>
        <v>6290</v>
      </c>
      <c r="N64" s="33"/>
    </row>
    <row r="65" spans="1:14" s="16" customFormat="1" ht="14.25" customHeight="1">
      <c r="A65" s="66"/>
      <c r="B65" s="34"/>
      <c r="C65" s="68"/>
      <c r="D65" s="68"/>
      <c r="E65" s="68"/>
      <c r="F65" s="68"/>
      <c r="G65" s="249"/>
      <c r="H65" s="249"/>
      <c r="I65" s="249"/>
      <c r="J65" s="249"/>
      <c r="K65" s="249"/>
      <c r="L65" s="249"/>
      <c r="M65" s="249"/>
      <c r="N65" s="33"/>
    </row>
    <row r="66" spans="1:14" s="16" customFormat="1" ht="23.25" customHeight="1">
      <c r="A66" s="66" t="s">
        <v>52</v>
      </c>
      <c r="B66" s="47" t="s">
        <v>10</v>
      </c>
      <c r="C66" s="67">
        <f>C70+C74+C78+C82+C86+C90+C94+C98+C102+C106</f>
        <v>59569</v>
      </c>
      <c r="D66" s="67">
        <f aca="true" t="shared" si="15" ref="D66:M66">D70+D74+D78+D82+D86+D90+D94+D98+D102+D106</f>
        <v>75478</v>
      </c>
      <c r="E66" s="67">
        <f t="shared" si="15"/>
        <v>42101</v>
      </c>
      <c r="F66" s="67">
        <f t="shared" si="15"/>
        <v>33377</v>
      </c>
      <c r="G66" s="377">
        <f t="shared" si="15"/>
        <v>25185</v>
      </c>
      <c r="H66" s="67">
        <f t="shared" si="15"/>
        <v>0</v>
      </c>
      <c r="I66" s="67">
        <f t="shared" si="15"/>
        <v>0</v>
      </c>
      <c r="J66" s="67">
        <f t="shared" si="15"/>
        <v>18008</v>
      </c>
      <c r="K66" s="67">
        <f t="shared" si="15"/>
        <v>0</v>
      </c>
      <c r="L66" s="67">
        <f t="shared" si="15"/>
        <v>677</v>
      </c>
      <c r="M66" s="67">
        <f t="shared" si="15"/>
        <v>6500</v>
      </c>
      <c r="N66" s="33"/>
    </row>
    <row r="67" spans="1:14" s="16" customFormat="1" ht="23.25" customHeight="1">
      <c r="A67" s="66"/>
      <c r="B67" s="48" t="s">
        <v>3</v>
      </c>
      <c r="C67" s="67">
        <f>C71+C75+C79+C83+C87+C91+C95+C99+C103+C107</f>
        <v>43278</v>
      </c>
      <c r="D67" s="67">
        <f aca="true" t="shared" si="16" ref="D67:M67">D71+D75+D79+D83+D87+D91+D95+D99+D103+D107</f>
        <v>57181</v>
      </c>
      <c r="E67" s="67">
        <f t="shared" si="16"/>
        <v>33648</v>
      </c>
      <c r="F67" s="67">
        <f t="shared" si="16"/>
        <v>23533</v>
      </c>
      <c r="G67" s="377">
        <f t="shared" si="16"/>
        <v>19909</v>
      </c>
      <c r="H67" s="67">
        <f t="shared" si="16"/>
        <v>0</v>
      </c>
      <c r="I67" s="67">
        <f t="shared" si="16"/>
        <v>0</v>
      </c>
      <c r="J67" s="67">
        <f t="shared" si="16"/>
        <v>13239</v>
      </c>
      <c r="K67" s="67">
        <f t="shared" si="16"/>
        <v>0</v>
      </c>
      <c r="L67" s="67">
        <f t="shared" si="16"/>
        <v>380</v>
      </c>
      <c r="M67" s="67">
        <f t="shared" si="16"/>
        <v>6290</v>
      </c>
      <c r="N67" s="33"/>
    </row>
    <row r="68" spans="1:14" s="16" customFormat="1" ht="18" customHeight="1">
      <c r="A68" s="66"/>
      <c r="B68" s="43"/>
      <c r="C68" s="68"/>
      <c r="D68" s="250"/>
      <c r="E68" s="250"/>
      <c r="F68" s="250"/>
      <c r="G68" s="250"/>
      <c r="H68" s="250"/>
      <c r="I68" s="250"/>
      <c r="J68" s="250"/>
      <c r="K68" s="250"/>
      <c r="L68" s="250"/>
      <c r="M68" s="250"/>
      <c r="N68" s="33"/>
    </row>
    <row r="69" spans="1:14" s="16" customFormat="1" ht="18" customHeight="1">
      <c r="A69" s="66"/>
      <c r="B69" s="43"/>
      <c r="C69" s="68"/>
      <c r="D69" s="250">
        <f>D70-11670</f>
        <v>1198</v>
      </c>
      <c r="E69" s="250"/>
      <c r="F69" s="250"/>
      <c r="G69" s="250">
        <f>G70-11515</f>
        <v>-8515</v>
      </c>
      <c r="H69" s="250"/>
      <c r="I69" s="250"/>
      <c r="J69" s="250"/>
      <c r="K69" s="250"/>
      <c r="L69" s="250">
        <f>L70-2000</f>
        <v>-1500</v>
      </c>
      <c r="M69" s="250">
        <f>M70-9515</f>
        <v>-7015</v>
      </c>
      <c r="N69" s="33"/>
    </row>
    <row r="70" spans="1:14" s="16" customFormat="1" ht="57">
      <c r="A70" s="328">
        <v>1</v>
      </c>
      <c r="B70" s="232" t="s">
        <v>278</v>
      </c>
      <c r="C70" s="341">
        <v>10100</v>
      </c>
      <c r="D70" s="341">
        <f>11670+1198</f>
        <v>12868</v>
      </c>
      <c r="E70" s="341">
        <v>9868</v>
      </c>
      <c r="F70" s="304">
        <f>D70-E70</f>
        <v>3000</v>
      </c>
      <c r="G70" s="377">
        <f>SUM(H70:M70)</f>
        <v>3000</v>
      </c>
      <c r="H70" s="302"/>
      <c r="I70" s="302"/>
      <c r="J70" s="302"/>
      <c r="K70" s="302"/>
      <c r="L70" s="302">
        <v>500</v>
      </c>
      <c r="M70" s="302">
        <v>2500</v>
      </c>
      <c r="N70" s="305" t="s">
        <v>32</v>
      </c>
    </row>
    <row r="71" spans="1:14" s="16" customFormat="1" ht="35.25" customHeight="1">
      <c r="A71" s="328"/>
      <c r="B71" s="209" t="s">
        <v>238</v>
      </c>
      <c r="C71" s="302">
        <v>7854</v>
      </c>
      <c r="D71" s="302">
        <f>8529+1832+700-31</f>
        <v>11030</v>
      </c>
      <c r="E71" s="302">
        <v>8330</v>
      </c>
      <c r="F71" s="304">
        <f>D71-E71</f>
        <v>2700</v>
      </c>
      <c r="G71" s="377">
        <f>SUM(H71:M71)</f>
        <v>2700</v>
      </c>
      <c r="H71" s="302"/>
      <c r="I71" s="302"/>
      <c r="J71" s="302"/>
      <c r="K71" s="302"/>
      <c r="L71" s="302">
        <v>210</v>
      </c>
      <c r="M71" s="302">
        <v>2490</v>
      </c>
      <c r="N71" s="305"/>
    </row>
    <row r="72" spans="1:14" s="16" customFormat="1" ht="18.75" customHeight="1">
      <c r="A72" s="66"/>
      <c r="B72" s="162"/>
      <c r="C72" s="68"/>
      <c r="D72" s="68"/>
      <c r="E72" s="68"/>
      <c r="F72" s="10"/>
      <c r="G72" s="68"/>
      <c r="H72" s="68"/>
      <c r="I72" s="68"/>
      <c r="J72" s="68"/>
      <c r="K72" s="68"/>
      <c r="L72" s="68"/>
      <c r="M72" s="68"/>
      <c r="N72" s="33"/>
    </row>
    <row r="73" spans="1:14" s="16" customFormat="1" ht="18" customHeight="1">
      <c r="A73" s="66"/>
      <c r="B73" s="196"/>
      <c r="C73" s="68"/>
      <c r="D73" s="68"/>
      <c r="E73" s="68"/>
      <c r="F73" s="10"/>
      <c r="G73" s="68"/>
      <c r="H73" s="68"/>
      <c r="I73" s="68"/>
      <c r="J73" s="68"/>
      <c r="K73" s="68"/>
      <c r="L73" s="68"/>
      <c r="M73" s="68"/>
      <c r="N73" s="33"/>
    </row>
    <row r="74" spans="1:16" s="16" customFormat="1" ht="46.5" customHeight="1">
      <c r="A74" s="66">
        <v>2</v>
      </c>
      <c r="B74" s="232" t="s">
        <v>280</v>
      </c>
      <c r="C74" s="341">
        <v>6058</v>
      </c>
      <c r="D74" s="341">
        <v>6100</v>
      </c>
      <c r="E74" s="341">
        <f>941+4279-1000</f>
        <v>4220</v>
      </c>
      <c r="F74" s="304">
        <f>D74-E74</f>
        <v>1880</v>
      </c>
      <c r="G74" s="377">
        <f>SUM(H74:M74)</f>
        <v>1862</v>
      </c>
      <c r="H74" s="302"/>
      <c r="I74" s="302"/>
      <c r="J74" s="302">
        <v>1862</v>
      </c>
      <c r="K74" s="302"/>
      <c r="L74" s="302">
        <v>0</v>
      </c>
      <c r="M74" s="302">
        <v>0</v>
      </c>
      <c r="N74" s="305" t="s">
        <v>32</v>
      </c>
      <c r="P74" s="190"/>
    </row>
    <row r="75" spans="1:14" s="16" customFormat="1" ht="26.25" customHeight="1">
      <c r="A75" s="66"/>
      <c r="B75" s="209" t="s">
        <v>145</v>
      </c>
      <c r="C75" s="302">
        <v>4378</v>
      </c>
      <c r="D75" s="302">
        <f>4360+300</f>
        <v>4660</v>
      </c>
      <c r="E75" s="302">
        <f>873+3648-661-1000+150</f>
        <v>3010</v>
      </c>
      <c r="F75" s="304">
        <f>D75-E75</f>
        <v>1650</v>
      </c>
      <c r="G75" s="377">
        <f>SUM(H75:M75)</f>
        <v>1650</v>
      </c>
      <c r="H75" s="302"/>
      <c r="I75" s="302"/>
      <c r="J75" s="302">
        <v>1650</v>
      </c>
      <c r="K75" s="302"/>
      <c r="L75" s="302">
        <v>0</v>
      </c>
      <c r="M75" s="302">
        <v>0</v>
      </c>
      <c r="N75" s="305"/>
    </row>
    <row r="76" spans="1:14" s="16" customFormat="1" ht="23.25" customHeight="1">
      <c r="A76" s="66"/>
      <c r="B76" s="209"/>
      <c r="C76" s="68"/>
      <c r="D76" s="68"/>
      <c r="E76" s="68"/>
      <c r="F76" s="10"/>
      <c r="G76" s="68"/>
      <c r="H76" s="68"/>
      <c r="I76" s="68"/>
      <c r="J76" s="68"/>
      <c r="K76" s="68"/>
      <c r="L76" s="68"/>
      <c r="M76" s="68"/>
      <c r="N76" s="33"/>
    </row>
    <row r="77" spans="1:14" s="16" customFormat="1" ht="23.25" customHeight="1">
      <c r="A77" s="66"/>
      <c r="B77" s="162"/>
      <c r="C77" s="68"/>
      <c r="D77" s="68"/>
      <c r="E77" s="68"/>
      <c r="F77" s="10"/>
      <c r="G77" s="68"/>
      <c r="H77" s="68"/>
      <c r="I77" s="68"/>
      <c r="J77" s="68"/>
      <c r="K77" s="68"/>
      <c r="L77" s="68"/>
      <c r="M77" s="68"/>
      <c r="N77" s="33"/>
    </row>
    <row r="78" spans="1:14" s="16" customFormat="1" ht="57">
      <c r="A78" s="66">
        <v>3</v>
      </c>
      <c r="B78" s="232" t="s">
        <v>281</v>
      </c>
      <c r="C78" s="341">
        <v>4609</v>
      </c>
      <c r="D78" s="341">
        <f>6309</f>
        <v>6309</v>
      </c>
      <c r="E78" s="341">
        <f>1+1436+2917+299</f>
        <v>4653</v>
      </c>
      <c r="F78" s="304">
        <f>D78-E78</f>
        <v>1656</v>
      </c>
      <c r="G78" s="377">
        <f>SUM(H78:M78)</f>
        <v>1500</v>
      </c>
      <c r="H78" s="302"/>
      <c r="I78" s="302"/>
      <c r="J78" s="302">
        <v>1500</v>
      </c>
      <c r="K78" s="302"/>
      <c r="L78" s="302">
        <v>0</v>
      </c>
      <c r="M78" s="302">
        <v>0</v>
      </c>
      <c r="N78" s="305" t="s">
        <v>32</v>
      </c>
    </row>
    <row r="79" spans="1:14" s="16" customFormat="1" ht="30.75" customHeight="1">
      <c r="A79" s="66"/>
      <c r="B79" s="209" t="s">
        <v>404</v>
      </c>
      <c r="C79" s="302">
        <v>3752</v>
      </c>
      <c r="D79" s="302">
        <f>4816+345</f>
        <v>5161</v>
      </c>
      <c r="E79" s="302">
        <f>1378+2583</f>
        <v>3961</v>
      </c>
      <c r="F79" s="304">
        <f>D79-E79</f>
        <v>1200</v>
      </c>
      <c r="G79" s="377">
        <f>SUM(H79:M79)</f>
        <v>1200</v>
      </c>
      <c r="H79" s="302"/>
      <c r="I79" s="302"/>
      <c r="J79" s="302">
        <v>1200</v>
      </c>
      <c r="K79" s="302"/>
      <c r="L79" s="302">
        <v>0</v>
      </c>
      <c r="M79" s="302">
        <v>0</v>
      </c>
      <c r="N79" s="305"/>
    </row>
    <row r="80" spans="1:14" s="16" customFormat="1" ht="20.25" customHeight="1">
      <c r="A80" s="66"/>
      <c r="B80" s="196"/>
      <c r="C80" s="68"/>
      <c r="D80" s="68"/>
      <c r="E80" s="68"/>
      <c r="F80" s="10"/>
      <c r="G80" s="68"/>
      <c r="H80" s="68"/>
      <c r="I80" s="68"/>
      <c r="J80" s="68"/>
      <c r="K80" s="68"/>
      <c r="L80" s="68"/>
      <c r="M80" s="68"/>
      <c r="N80" s="33"/>
    </row>
    <row r="81" spans="1:14" s="16" customFormat="1" ht="15.75" customHeight="1">
      <c r="A81" s="66"/>
      <c r="B81" s="196"/>
      <c r="C81" s="68"/>
      <c r="D81" s="68"/>
      <c r="E81" s="68"/>
      <c r="F81" s="10"/>
      <c r="G81" s="68"/>
      <c r="H81" s="68"/>
      <c r="I81" s="68"/>
      <c r="J81" s="68"/>
      <c r="K81" s="68"/>
      <c r="L81" s="68"/>
      <c r="M81" s="68"/>
      <c r="N81" s="33"/>
    </row>
    <row r="82" spans="1:14" s="16" customFormat="1" ht="48.75" customHeight="1">
      <c r="A82" s="66">
        <v>4</v>
      </c>
      <c r="B82" s="232" t="s">
        <v>282</v>
      </c>
      <c r="C82" s="341">
        <v>7778</v>
      </c>
      <c r="D82" s="341">
        <v>9587</v>
      </c>
      <c r="E82" s="341">
        <f>116+3582+110</f>
        <v>3808</v>
      </c>
      <c r="F82" s="304">
        <f>D82-E82</f>
        <v>5779</v>
      </c>
      <c r="G82" s="377">
        <f>SUM(H82:M82)</f>
        <v>3910</v>
      </c>
      <c r="H82" s="302"/>
      <c r="I82" s="302"/>
      <c r="J82" s="302">
        <v>3910</v>
      </c>
      <c r="K82" s="302"/>
      <c r="L82" s="302">
        <v>0</v>
      </c>
      <c r="M82" s="302">
        <v>0</v>
      </c>
      <c r="N82" s="305" t="s">
        <v>32</v>
      </c>
    </row>
    <row r="83" spans="1:14" s="16" customFormat="1" ht="24.75" customHeight="1">
      <c r="A83" s="66"/>
      <c r="B83" s="196" t="s">
        <v>223</v>
      </c>
      <c r="C83" s="302">
        <v>4317</v>
      </c>
      <c r="D83" s="302">
        <f>5792+751</f>
        <v>6543</v>
      </c>
      <c r="E83" s="302">
        <f>97+3346</f>
        <v>3443</v>
      </c>
      <c r="F83" s="304">
        <f>D83-E83</f>
        <v>3100</v>
      </c>
      <c r="G83" s="377">
        <f>SUM(H83:M83)</f>
        <v>3100</v>
      </c>
      <c r="H83" s="302"/>
      <c r="I83" s="302"/>
      <c r="J83" s="302">
        <v>3100</v>
      </c>
      <c r="K83" s="302"/>
      <c r="L83" s="302">
        <v>0</v>
      </c>
      <c r="M83" s="302">
        <v>0</v>
      </c>
      <c r="N83" s="305"/>
    </row>
    <row r="84" spans="1:14" s="16" customFormat="1" ht="21.75" customHeight="1">
      <c r="A84" s="66"/>
      <c r="B84" s="196"/>
      <c r="C84" s="68"/>
      <c r="D84" s="68"/>
      <c r="E84" s="68"/>
      <c r="F84" s="10"/>
      <c r="G84" s="68"/>
      <c r="H84" s="68"/>
      <c r="I84" s="68"/>
      <c r="J84" s="68"/>
      <c r="K84" s="68"/>
      <c r="L84" s="68"/>
      <c r="M84" s="68"/>
      <c r="N84" s="33"/>
    </row>
    <row r="85" spans="1:14" s="16" customFormat="1" ht="15.75">
      <c r="A85" s="66"/>
      <c r="B85" s="196"/>
      <c r="C85" s="68"/>
      <c r="D85" s="68"/>
      <c r="E85" s="68"/>
      <c r="F85" s="10"/>
      <c r="G85" s="68"/>
      <c r="H85" s="68"/>
      <c r="I85" s="68"/>
      <c r="J85" s="68"/>
      <c r="K85" s="68"/>
      <c r="L85" s="68"/>
      <c r="M85" s="68"/>
      <c r="N85" s="33"/>
    </row>
    <row r="86" spans="1:14" s="16" customFormat="1" ht="40.5" customHeight="1">
      <c r="A86" s="66">
        <v>5</v>
      </c>
      <c r="B86" s="232" t="s">
        <v>283</v>
      </c>
      <c r="C86" s="341">
        <v>4083</v>
      </c>
      <c r="D86" s="341">
        <f>4881</f>
        <v>4881</v>
      </c>
      <c r="E86" s="341">
        <f>546+2148</f>
        <v>2694</v>
      </c>
      <c r="F86" s="304">
        <f>D86-E86</f>
        <v>2187</v>
      </c>
      <c r="G86" s="377">
        <f>SUM(H86:M86)</f>
        <v>2035</v>
      </c>
      <c r="H86" s="302"/>
      <c r="I86" s="302"/>
      <c r="J86" s="302">
        <v>2035</v>
      </c>
      <c r="K86" s="302"/>
      <c r="L86" s="302">
        <v>0</v>
      </c>
      <c r="M86" s="302">
        <v>0</v>
      </c>
      <c r="N86" s="305" t="s">
        <v>32</v>
      </c>
    </row>
    <row r="87" spans="1:14" s="16" customFormat="1" ht="28.5" customHeight="1">
      <c r="A87" s="66"/>
      <c r="B87" s="209" t="s">
        <v>405</v>
      </c>
      <c r="C87" s="302">
        <v>3295</v>
      </c>
      <c r="D87" s="302">
        <f>3474+13</f>
        <v>3487</v>
      </c>
      <c r="E87" s="302">
        <f>480+1481</f>
        <v>1961</v>
      </c>
      <c r="F87" s="304">
        <f>D87-E87</f>
        <v>1526</v>
      </c>
      <c r="G87" s="377">
        <f>SUM(H87:M87)</f>
        <v>1526</v>
      </c>
      <c r="H87" s="302"/>
      <c r="I87" s="302"/>
      <c r="J87" s="302">
        <v>1526</v>
      </c>
      <c r="K87" s="302"/>
      <c r="L87" s="302">
        <v>0</v>
      </c>
      <c r="M87" s="302">
        <v>0</v>
      </c>
      <c r="N87" s="305"/>
    </row>
    <row r="88" spans="1:14" s="16" customFormat="1" ht="16.5" customHeight="1">
      <c r="A88" s="66"/>
      <c r="B88" s="196"/>
      <c r="C88" s="68"/>
      <c r="D88" s="68"/>
      <c r="E88" s="68"/>
      <c r="F88" s="10"/>
      <c r="G88" s="68"/>
      <c r="H88" s="68"/>
      <c r="I88" s="68"/>
      <c r="J88" s="68"/>
      <c r="K88" s="68"/>
      <c r="L88" s="68"/>
      <c r="M88" s="68"/>
      <c r="N88" s="33"/>
    </row>
    <row r="89" spans="1:14" s="16" customFormat="1" ht="16.5" customHeight="1">
      <c r="A89" s="66"/>
      <c r="B89" s="196"/>
      <c r="C89" s="68"/>
      <c r="D89" s="68"/>
      <c r="E89" s="68"/>
      <c r="F89" s="10"/>
      <c r="G89" s="68"/>
      <c r="H89" s="68"/>
      <c r="I89" s="68"/>
      <c r="J89" s="68"/>
      <c r="K89" s="68"/>
      <c r="L89" s="68"/>
      <c r="M89" s="68"/>
      <c r="N89" s="33"/>
    </row>
    <row r="90" spans="1:14" s="16" customFormat="1" ht="43.5" customHeight="1">
      <c r="A90" s="66">
        <v>6</v>
      </c>
      <c r="B90" s="232" t="s">
        <v>284</v>
      </c>
      <c r="C90" s="341">
        <v>10248</v>
      </c>
      <c r="D90" s="341">
        <v>13832</v>
      </c>
      <c r="E90" s="341">
        <v>4570</v>
      </c>
      <c r="F90" s="304">
        <f>D90-E90</f>
        <v>9262</v>
      </c>
      <c r="G90" s="377">
        <f>SUM(H90:M90)</f>
        <v>7316</v>
      </c>
      <c r="H90" s="302"/>
      <c r="I90" s="302"/>
      <c r="J90" s="302">
        <v>7316</v>
      </c>
      <c r="K90" s="302"/>
      <c r="L90" s="302">
        <v>0</v>
      </c>
      <c r="M90" s="302">
        <v>0</v>
      </c>
      <c r="N90" s="305" t="s">
        <v>32</v>
      </c>
    </row>
    <row r="91" spans="1:14" s="16" customFormat="1" ht="28.5" customHeight="1">
      <c r="A91" s="66"/>
      <c r="B91" s="209" t="s">
        <v>403</v>
      </c>
      <c r="C91" s="302">
        <v>6092</v>
      </c>
      <c r="D91" s="302">
        <v>8756</v>
      </c>
      <c r="E91" s="302">
        <v>3335</v>
      </c>
      <c r="F91" s="304">
        <f>D91-E91</f>
        <v>5421</v>
      </c>
      <c r="G91" s="377">
        <f>SUM(H91:M91)</f>
        <v>4536</v>
      </c>
      <c r="H91" s="302"/>
      <c r="I91" s="302"/>
      <c r="J91" s="302">
        <v>4536</v>
      </c>
      <c r="K91" s="302"/>
      <c r="L91" s="302">
        <v>0</v>
      </c>
      <c r="M91" s="302">
        <v>0</v>
      </c>
      <c r="N91" s="305"/>
    </row>
    <row r="92" spans="1:14" s="16" customFormat="1" ht="20.25" customHeight="1">
      <c r="A92" s="66"/>
      <c r="B92" s="196"/>
      <c r="C92" s="68"/>
      <c r="D92" s="68"/>
      <c r="E92" s="68"/>
      <c r="F92" s="10"/>
      <c r="G92" s="68"/>
      <c r="H92" s="68"/>
      <c r="I92" s="68"/>
      <c r="J92" s="68"/>
      <c r="K92" s="68"/>
      <c r="L92" s="68"/>
      <c r="M92" s="68"/>
      <c r="N92" s="33"/>
    </row>
    <row r="93" spans="1:14" s="16" customFormat="1" ht="20.25" customHeight="1">
      <c r="A93" s="28"/>
      <c r="B93" s="43"/>
      <c r="D93" s="251">
        <f>D94-9582</f>
        <v>-2439</v>
      </c>
      <c r="E93" s="251"/>
      <c r="F93" s="251"/>
      <c r="G93" s="250">
        <f>G94-9081</f>
        <v>-5004</v>
      </c>
      <c r="H93" s="251"/>
      <c r="I93" s="251"/>
      <c r="J93" s="251"/>
      <c r="K93" s="251"/>
      <c r="L93" s="251">
        <f>L94-2104</f>
        <v>-2027</v>
      </c>
      <c r="M93" s="251">
        <f>M94-6977</f>
        <v>-2977</v>
      </c>
      <c r="N93" s="33"/>
    </row>
    <row r="94" spans="1:14" s="16" customFormat="1" ht="41.25" customHeight="1">
      <c r="A94" s="28">
        <v>7</v>
      </c>
      <c r="B94" s="232" t="s">
        <v>285</v>
      </c>
      <c r="C94" s="302">
        <v>3778</v>
      </c>
      <c r="D94" s="302">
        <f>7106+37</f>
        <v>7143</v>
      </c>
      <c r="E94" s="302">
        <v>703</v>
      </c>
      <c r="F94" s="302">
        <f>D94-E94</f>
        <v>6440</v>
      </c>
      <c r="G94" s="377">
        <f>SUM(H94:M94)</f>
        <v>4077</v>
      </c>
      <c r="H94" s="302"/>
      <c r="I94" s="302"/>
      <c r="J94" s="302"/>
      <c r="K94" s="302"/>
      <c r="L94" s="302">
        <v>77</v>
      </c>
      <c r="M94" s="302">
        <v>4000</v>
      </c>
      <c r="N94" s="305" t="s">
        <v>32</v>
      </c>
    </row>
    <row r="95" spans="1:14" s="16" customFormat="1" ht="41.25" customHeight="1">
      <c r="A95" s="28"/>
      <c r="B95" s="197" t="s">
        <v>239</v>
      </c>
      <c r="C95" s="304">
        <v>3619</v>
      </c>
      <c r="D95" s="304">
        <v>5244</v>
      </c>
      <c r="E95" s="304">
        <v>672</v>
      </c>
      <c r="F95" s="302">
        <f>D95-E95</f>
        <v>4572</v>
      </c>
      <c r="G95" s="377">
        <f>SUM(H95:M95)</f>
        <v>3870</v>
      </c>
      <c r="H95" s="302"/>
      <c r="I95" s="302"/>
      <c r="J95" s="302"/>
      <c r="K95" s="302"/>
      <c r="L95" s="302">
        <v>70</v>
      </c>
      <c r="M95" s="302">
        <v>3800</v>
      </c>
      <c r="N95" s="352"/>
    </row>
    <row r="96" spans="1:14" s="16" customFormat="1" ht="11.25" customHeight="1">
      <c r="A96" s="28"/>
      <c r="B96" s="247"/>
      <c r="C96" s="10"/>
      <c r="D96" s="10"/>
      <c r="E96" s="10"/>
      <c r="F96" s="68"/>
      <c r="G96" s="68"/>
      <c r="H96" s="68"/>
      <c r="I96" s="68"/>
      <c r="J96" s="68"/>
      <c r="K96" s="68"/>
      <c r="L96" s="68"/>
      <c r="M96" s="68"/>
      <c r="N96" s="71"/>
    </row>
    <row r="97" spans="1:14" s="16" customFormat="1" ht="12.75" customHeight="1">
      <c r="A97" s="28"/>
      <c r="B97" s="197"/>
      <c r="C97" s="68"/>
      <c r="D97" s="68"/>
      <c r="E97" s="68"/>
      <c r="F97" s="68"/>
      <c r="G97" s="68"/>
      <c r="H97" s="68"/>
      <c r="I97" s="68"/>
      <c r="J97" s="68"/>
      <c r="K97" s="68"/>
      <c r="L97" s="68"/>
      <c r="M97" s="68"/>
      <c r="N97" s="71"/>
    </row>
    <row r="98" spans="1:14" s="16" customFormat="1" ht="39.75" customHeight="1">
      <c r="A98" s="66">
        <v>8</v>
      </c>
      <c r="B98" s="232" t="s">
        <v>289</v>
      </c>
      <c r="C98" s="341">
        <v>5630</v>
      </c>
      <c r="D98" s="341">
        <v>5630</v>
      </c>
      <c r="E98" s="341">
        <f>3150+242</f>
        <v>3392</v>
      </c>
      <c r="F98" s="304">
        <f>D98-E98</f>
        <v>2238</v>
      </c>
      <c r="G98" s="377">
        <f>SUM(H98:M98)</f>
        <v>1356</v>
      </c>
      <c r="H98" s="302"/>
      <c r="I98" s="302"/>
      <c r="J98" s="302">
        <v>1356</v>
      </c>
      <c r="K98" s="302"/>
      <c r="L98" s="302">
        <v>0</v>
      </c>
      <c r="M98" s="302">
        <v>0</v>
      </c>
      <c r="N98" s="305" t="s">
        <v>32</v>
      </c>
    </row>
    <row r="99" spans="1:14" s="16" customFormat="1" ht="39.75" customHeight="1">
      <c r="A99" s="66"/>
      <c r="B99" s="209" t="s">
        <v>400</v>
      </c>
      <c r="C99" s="302">
        <v>4082</v>
      </c>
      <c r="D99" s="302">
        <f>4719</f>
        <v>4719</v>
      </c>
      <c r="E99" s="302">
        <v>2830</v>
      </c>
      <c r="F99" s="304">
        <f>D99-E99</f>
        <v>1889</v>
      </c>
      <c r="G99" s="377">
        <f>SUM(H99:M99)</f>
        <v>1200</v>
      </c>
      <c r="H99" s="302"/>
      <c r="I99" s="302"/>
      <c r="J99" s="302">
        <v>1200</v>
      </c>
      <c r="K99" s="302"/>
      <c r="L99" s="302">
        <v>0</v>
      </c>
      <c r="M99" s="302">
        <v>0</v>
      </c>
      <c r="N99" s="305"/>
    </row>
    <row r="100" spans="1:14" s="16" customFormat="1" ht="18" customHeight="1">
      <c r="A100" s="66"/>
      <c r="B100" s="269"/>
      <c r="C100" s="68"/>
      <c r="D100" s="68"/>
      <c r="E100" s="68"/>
      <c r="F100" s="10"/>
      <c r="G100" s="249"/>
      <c r="H100" s="68"/>
      <c r="I100" s="68"/>
      <c r="J100" s="68"/>
      <c r="K100" s="68"/>
      <c r="L100" s="68"/>
      <c r="M100" s="68"/>
      <c r="N100" s="33"/>
    </row>
    <row r="101" spans="1:14" s="16" customFormat="1" ht="18" customHeight="1">
      <c r="A101" s="28"/>
      <c r="B101" s="197"/>
      <c r="C101" s="68"/>
      <c r="D101" s="68"/>
      <c r="E101" s="68"/>
      <c r="F101" s="68"/>
      <c r="G101" s="68"/>
      <c r="H101" s="68"/>
      <c r="I101" s="68"/>
      <c r="J101" s="68"/>
      <c r="K101" s="68"/>
      <c r="L101" s="68"/>
      <c r="M101" s="68"/>
      <c r="N101" s="71"/>
    </row>
    <row r="102" spans="1:14" s="16" customFormat="1" ht="39.75" customHeight="1">
      <c r="A102" s="66">
        <v>9</v>
      </c>
      <c r="B102" s="232" t="s">
        <v>287</v>
      </c>
      <c r="C102" s="341">
        <v>1137</v>
      </c>
      <c r="D102" s="341">
        <f>C102</f>
        <v>1137</v>
      </c>
      <c r="E102" s="341">
        <f>44+771</f>
        <v>815</v>
      </c>
      <c r="F102" s="304">
        <f>D102-E102</f>
        <v>322</v>
      </c>
      <c r="G102" s="377">
        <f>SUM(H102:M102)</f>
        <v>100</v>
      </c>
      <c r="H102" s="302"/>
      <c r="I102" s="302"/>
      <c r="J102" s="302">
        <v>0</v>
      </c>
      <c r="K102" s="302"/>
      <c r="L102" s="302">
        <v>100</v>
      </c>
      <c r="M102" s="302">
        <v>0</v>
      </c>
      <c r="N102" s="305" t="s">
        <v>32</v>
      </c>
    </row>
    <row r="103" spans="1:14" s="16" customFormat="1" ht="20.25" customHeight="1">
      <c r="A103" s="66"/>
      <c r="B103" s="209" t="s">
        <v>227</v>
      </c>
      <c r="C103" s="302">
        <v>785</v>
      </c>
      <c r="D103" s="302">
        <f>C103</f>
        <v>785</v>
      </c>
      <c r="E103" s="302">
        <v>633</v>
      </c>
      <c r="F103" s="304">
        <f>D103-E103</f>
        <v>152</v>
      </c>
      <c r="G103" s="377">
        <f>SUM(H103:M103)</f>
        <v>100</v>
      </c>
      <c r="H103" s="302"/>
      <c r="I103" s="302"/>
      <c r="J103" s="302">
        <v>0</v>
      </c>
      <c r="K103" s="302"/>
      <c r="L103" s="302">
        <v>100</v>
      </c>
      <c r="M103" s="302">
        <v>0</v>
      </c>
      <c r="N103" s="305"/>
    </row>
    <row r="104" spans="1:14" s="16" customFormat="1" ht="20.25" customHeight="1">
      <c r="A104" s="66"/>
      <c r="B104" s="209"/>
      <c r="C104" s="68"/>
      <c r="D104" s="68"/>
      <c r="E104" s="68"/>
      <c r="F104" s="10"/>
      <c r="G104" s="249"/>
      <c r="H104" s="68"/>
      <c r="I104" s="68"/>
      <c r="J104" s="68"/>
      <c r="K104" s="68"/>
      <c r="L104" s="68"/>
      <c r="M104" s="68"/>
      <c r="N104" s="33"/>
    </row>
    <row r="105" spans="1:14" s="16" customFormat="1" ht="20.25" customHeight="1">
      <c r="A105" s="66"/>
      <c r="B105" s="209"/>
      <c r="C105" s="68"/>
      <c r="D105" s="68"/>
      <c r="E105" s="68"/>
      <c r="F105" s="10"/>
      <c r="G105" s="249"/>
      <c r="H105" s="68"/>
      <c r="I105" s="68"/>
      <c r="J105" s="68"/>
      <c r="K105" s="68"/>
      <c r="L105" s="68"/>
      <c r="M105" s="68"/>
      <c r="N105" s="33"/>
    </row>
    <row r="106" spans="1:14" s="16" customFormat="1" ht="42.75">
      <c r="A106" s="66">
        <v>10</v>
      </c>
      <c r="B106" s="232" t="s">
        <v>437</v>
      </c>
      <c r="C106" s="341">
        <v>6148</v>
      </c>
      <c r="D106" s="341">
        <v>7991</v>
      </c>
      <c r="E106" s="341">
        <f>2003+5375</f>
        <v>7378</v>
      </c>
      <c r="F106" s="304">
        <f>D106-E106</f>
        <v>613</v>
      </c>
      <c r="G106" s="377">
        <f>SUM(H106:M106)</f>
        <v>29</v>
      </c>
      <c r="H106" s="67"/>
      <c r="I106" s="67"/>
      <c r="J106" s="67">
        <v>29</v>
      </c>
      <c r="K106" s="302"/>
      <c r="L106" s="302">
        <v>0</v>
      </c>
      <c r="M106" s="302">
        <v>0</v>
      </c>
      <c r="N106" s="305" t="s">
        <v>32</v>
      </c>
    </row>
    <row r="107" spans="1:14" s="16" customFormat="1" ht="24">
      <c r="A107" s="66"/>
      <c r="B107" s="209" t="s">
        <v>438</v>
      </c>
      <c r="C107" s="302">
        <v>5104</v>
      </c>
      <c r="D107" s="302">
        <v>6796</v>
      </c>
      <c r="E107" s="302">
        <f>1621+3852</f>
        <v>5473</v>
      </c>
      <c r="F107" s="304">
        <f>D107-E107</f>
        <v>1323</v>
      </c>
      <c r="G107" s="377">
        <f>SUM(H107:M107)</f>
        <v>27</v>
      </c>
      <c r="H107" s="67"/>
      <c r="I107" s="67"/>
      <c r="J107" s="67">
        <v>27</v>
      </c>
      <c r="K107" s="302"/>
      <c r="L107" s="302">
        <v>0</v>
      </c>
      <c r="M107" s="302">
        <v>0</v>
      </c>
      <c r="N107" s="305"/>
    </row>
    <row r="108" spans="1:14" s="16" customFormat="1" ht="21" customHeight="1">
      <c r="A108" s="66"/>
      <c r="B108" s="209"/>
      <c r="C108" s="332"/>
      <c r="D108" s="332"/>
      <c r="E108" s="332"/>
      <c r="F108" s="333"/>
      <c r="G108" s="249"/>
      <c r="H108" s="332"/>
      <c r="I108" s="332"/>
      <c r="J108" s="332"/>
      <c r="K108" s="332"/>
      <c r="L108" s="332"/>
      <c r="M108" s="332"/>
      <c r="N108" s="305"/>
    </row>
    <row r="109" spans="1:14" s="16" customFormat="1" ht="21" customHeight="1">
      <c r="A109" s="66"/>
      <c r="B109" s="171"/>
      <c r="C109" s="68"/>
      <c r="D109" s="68"/>
      <c r="E109" s="68"/>
      <c r="F109" s="10"/>
      <c r="G109" s="68"/>
      <c r="H109" s="68"/>
      <c r="I109" s="68"/>
      <c r="J109" s="68"/>
      <c r="K109" s="68"/>
      <c r="L109" s="68"/>
      <c r="M109" s="68"/>
      <c r="N109" s="33"/>
    </row>
    <row r="110" spans="1:14" s="16" customFormat="1" ht="27" customHeight="1">
      <c r="A110" s="17" t="s">
        <v>4</v>
      </c>
      <c r="B110" s="47" t="s">
        <v>10</v>
      </c>
      <c r="C110" s="72">
        <f>C113+C117+C121+C125+C129+C133+C137+C141+C145+C149+C153+C157+C161+C165+C169+C173</f>
        <v>157333</v>
      </c>
      <c r="D110" s="72">
        <f aca="true" t="shared" si="17" ref="D110:M110">D113+D117+D121+D125+D129+D133+D137+D141+D145+D149+D153+D157+D161+D165+D169+D173</f>
        <v>168279</v>
      </c>
      <c r="E110" s="72">
        <f t="shared" si="17"/>
        <v>332</v>
      </c>
      <c r="F110" s="72">
        <f t="shared" si="17"/>
        <v>167947</v>
      </c>
      <c r="G110" s="379">
        <f t="shared" si="17"/>
        <v>48910</v>
      </c>
      <c r="H110" s="72">
        <f t="shared" si="17"/>
        <v>24332</v>
      </c>
      <c r="I110" s="72">
        <f t="shared" si="17"/>
        <v>0</v>
      </c>
      <c r="J110" s="72">
        <f t="shared" si="17"/>
        <v>24578</v>
      </c>
      <c r="K110" s="72">
        <f t="shared" si="17"/>
        <v>0</v>
      </c>
      <c r="L110" s="72">
        <f t="shared" si="17"/>
        <v>0</v>
      </c>
      <c r="M110" s="72">
        <f t="shared" si="17"/>
        <v>0</v>
      </c>
      <c r="N110" s="33"/>
    </row>
    <row r="111" spans="1:14" s="16" customFormat="1" ht="27" customHeight="1">
      <c r="A111" s="66"/>
      <c r="B111" s="48" t="s">
        <v>5</v>
      </c>
      <c r="C111" s="72">
        <f>C114+C118+C122+C126+C130+C134+C138+C142+C146+C150+C154+C158+C162+C166+C170+C174</f>
        <v>139018</v>
      </c>
      <c r="D111" s="72">
        <f aca="true" t="shared" si="18" ref="D111:M111">D114+D118+D122+D126+D130+D134+D138+D142+D146+D150+D154+D158+D162+D166+D170+D174</f>
        <v>147896</v>
      </c>
      <c r="E111" s="72">
        <f t="shared" si="18"/>
        <v>0</v>
      </c>
      <c r="F111" s="72">
        <f t="shared" si="18"/>
        <v>147896</v>
      </c>
      <c r="G111" s="379">
        <f t="shared" si="18"/>
        <v>46641</v>
      </c>
      <c r="H111" s="72">
        <f t="shared" si="18"/>
        <v>23612</v>
      </c>
      <c r="I111" s="72">
        <f t="shared" si="18"/>
        <v>0</v>
      </c>
      <c r="J111" s="72">
        <f t="shared" si="18"/>
        <v>23029</v>
      </c>
      <c r="K111" s="72">
        <f t="shared" si="18"/>
        <v>0</v>
      </c>
      <c r="L111" s="72">
        <f t="shared" si="18"/>
        <v>0</v>
      </c>
      <c r="M111" s="72">
        <f t="shared" si="18"/>
        <v>0</v>
      </c>
      <c r="N111" s="33"/>
    </row>
    <row r="112" spans="1:14" s="16" customFormat="1" ht="25.5" customHeight="1">
      <c r="A112" s="66"/>
      <c r="B112" s="43"/>
      <c r="C112" s="68"/>
      <c r="D112" s="68"/>
      <c r="E112" s="68"/>
      <c r="F112" s="68"/>
      <c r="G112" s="68"/>
      <c r="H112" s="68"/>
      <c r="I112" s="68"/>
      <c r="J112" s="68"/>
      <c r="K112" s="68"/>
      <c r="L112" s="68"/>
      <c r="M112" s="68"/>
      <c r="N112" s="33"/>
    </row>
    <row r="113" spans="1:14" s="16" customFormat="1" ht="43.5" customHeight="1">
      <c r="A113" s="66">
        <v>1</v>
      </c>
      <c r="B113" s="232" t="s">
        <v>286</v>
      </c>
      <c r="C113" s="341">
        <v>13379</v>
      </c>
      <c r="D113" s="341">
        <v>21602</v>
      </c>
      <c r="E113" s="341">
        <f>1+183</f>
        <v>184</v>
      </c>
      <c r="F113" s="304">
        <f>D113-E113</f>
        <v>21418</v>
      </c>
      <c r="G113" s="377">
        <f>SUM(H113:M113)</f>
        <v>11254</v>
      </c>
      <c r="H113" s="302"/>
      <c r="I113" s="302"/>
      <c r="J113" s="302">
        <v>11254</v>
      </c>
      <c r="K113" s="302"/>
      <c r="L113" s="302">
        <v>0</v>
      </c>
      <c r="M113" s="302">
        <v>0</v>
      </c>
      <c r="N113" s="305" t="s">
        <v>32</v>
      </c>
    </row>
    <row r="114" spans="1:14" s="16" customFormat="1" ht="27" customHeight="1">
      <c r="A114" s="66"/>
      <c r="B114" s="209" t="s">
        <v>406</v>
      </c>
      <c r="C114" s="302">
        <v>9396</v>
      </c>
      <c r="D114" s="302">
        <v>15667</v>
      </c>
      <c r="E114" s="302">
        <v>0</v>
      </c>
      <c r="F114" s="304">
        <f>D114-E114</f>
        <v>15667</v>
      </c>
      <c r="G114" s="377">
        <f>SUM(H114:M114)</f>
        <v>10950</v>
      </c>
      <c r="H114" s="302"/>
      <c r="I114" s="302"/>
      <c r="J114" s="302">
        <v>10950</v>
      </c>
      <c r="K114" s="302"/>
      <c r="L114" s="302">
        <v>0</v>
      </c>
      <c r="M114" s="302">
        <v>0</v>
      </c>
      <c r="N114" s="305"/>
    </row>
    <row r="115" spans="1:14" s="16" customFormat="1" ht="16.5" customHeight="1">
      <c r="A115" s="66"/>
      <c r="B115" s="209"/>
      <c r="C115" s="68"/>
      <c r="D115" s="68"/>
      <c r="E115" s="68"/>
      <c r="F115" s="10"/>
      <c r="G115" s="68"/>
      <c r="H115" s="68"/>
      <c r="I115" s="68"/>
      <c r="J115" s="68"/>
      <c r="K115" s="68"/>
      <c r="L115" s="68"/>
      <c r="M115" s="68"/>
      <c r="N115" s="33"/>
    </row>
    <row r="116" spans="1:14" s="16" customFormat="1" ht="16.5" customHeight="1">
      <c r="A116" s="66"/>
      <c r="B116" s="209"/>
      <c r="C116" s="68"/>
      <c r="D116" s="68"/>
      <c r="E116" s="68"/>
      <c r="F116" s="10"/>
      <c r="G116" s="68"/>
      <c r="H116" s="68"/>
      <c r="I116" s="68"/>
      <c r="J116" s="68"/>
      <c r="K116" s="68"/>
      <c r="L116" s="68"/>
      <c r="M116" s="68"/>
      <c r="N116" s="33"/>
    </row>
    <row r="117" spans="1:14" s="16" customFormat="1" ht="42" customHeight="1">
      <c r="A117" s="66">
        <v>2</v>
      </c>
      <c r="B117" s="232" t="s">
        <v>288</v>
      </c>
      <c r="C117" s="341">
        <v>13645</v>
      </c>
      <c r="D117" s="341">
        <f>16368</f>
        <v>16368</v>
      </c>
      <c r="E117" s="341">
        <f>5+143</f>
        <v>148</v>
      </c>
      <c r="F117" s="304">
        <f>D117-E117</f>
        <v>16220</v>
      </c>
      <c r="G117" s="377">
        <f>SUM(H117:M117)</f>
        <v>13324</v>
      </c>
      <c r="H117" s="302"/>
      <c r="I117" s="302"/>
      <c r="J117" s="302">
        <v>13324</v>
      </c>
      <c r="K117" s="302"/>
      <c r="L117" s="302">
        <v>0</v>
      </c>
      <c r="M117" s="302">
        <v>0</v>
      </c>
      <c r="N117" s="305" t="s">
        <v>32</v>
      </c>
    </row>
    <row r="118" spans="1:14" s="16" customFormat="1" ht="27" customHeight="1">
      <c r="A118" s="66"/>
      <c r="B118" s="209" t="s">
        <v>341</v>
      </c>
      <c r="C118" s="302">
        <v>9472</v>
      </c>
      <c r="D118" s="302">
        <f>12079</f>
        <v>12079</v>
      </c>
      <c r="E118" s="302">
        <v>0</v>
      </c>
      <c r="F118" s="304">
        <f>D118-E118</f>
        <v>12079</v>
      </c>
      <c r="G118" s="377">
        <f>SUM(H118:M118)</f>
        <v>12079</v>
      </c>
      <c r="H118" s="302"/>
      <c r="I118" s="302"/>
      <c r="J118" s="302">
        <v>12079</v>
      </c>
      <c r="K118" s="302"/>
      <c r="L118" s="302">
        <v>0</v>
      </c>
      <c r="M118" s="302">
        <v>0</v>
      </c>
      <c r="N118" s="305"/>
    </row>
    <row r="119" spans="1:14" s="16" customFormat="1" ht="18.75" customHeight="1">
      <c r="A119" s="66"/>
      <c r="B119" s="209"/>
      <c r="C119" s="68"/>
      <c r="D119" s="68"/>
      <c r="E119" s="68"/>
      <c r="F119" s="10"/>
      <c r="G119" s="249"/>
      <c r="H119" s="68"/>
      <c r="I119" s="68"/>
      <c r="J119" s="68"/>
      <c r="K119" s="68"/>
      <c r="L119" s="68"/>
      <c r="M119" s="68"/>
      <c r="N119" s="33"/>
    </row>
    <row r="120" spans="1:14" s="16" customFormat="1" ht="18.75" customHeight="1">
      <c r="A120" s="66"/>
      <c r="B120" s="209"/>
      <c r="C120" s="68"/>
      <c r="D120" s="68"/>
      <c r="E120" s="68"/>
      <c r="F120" s="10"/>
      <c r="G120" s="249"/>
      <c r="H120" s="68"/>
      <c r="I120" s="68"/>
      <c r="J120" s="68"/>
      <c r="K120" s="68"/>
      <c r="L120" s="68"/>
      <c r="M120" s="68"/>
      <c r="N120" s="33"/>
    </row>
    <row r="121" spans="1:14" s="16" customFormat="1" ht="57">
      <c r="A121" s="66">
        <v>3</v>
      </c>
      <c r="B121" s="232" t="s">
        <v>419</v>
      </c>
      <c r="C121" s="341">
        <v>16842</v>
      </c>
      <c r="D121" s="341">
        <f>C121</f>
        <v>16842</v>
      </c>
      <c r="E121" s="341">
        <v>0</v>
      </c>
      <c r="F121" s="304">
        <f>D121-E121</f>
        <v>16842</v>
      </c>
      <c r="G121" s="377">
        <f>SUM(H121:M121)</f>
        <v>2807</v>
      </c>
      <c r="H121" s="302">
        <v>2807</v>
      </c>
      <c r="I121" s="302"/>
      <c r="J121" s="302">
        <v>0</v>
      </c>
      <c r="K121" s="302"/>
      <c r="L121" s="302">
        <v>0</v>
      </c>
      <c r="M121" s="302">
        <v>0</v>
      </c>
      <c r="N121" s="305" t="s">
        <v>32</v>
      </c>
    </row>
    <row r="122" spans="1:14" s="16" customFormat="1" ht="27" customHeight="1">
      <c r="A122" s="66"/>
      <c r="B122" s="196" t="s">
        <v>420</v>
      </c>
      <c r="C122" s="302">
        <v>16000</v>
      </c>
      <c r="D122" s="302">
        <f>C122</f>
        <v>16000</v>
      </c>
      <c r="E122" s="302">
        <v>0</v>
      </c>
      <c r="F122" s="304">
        <f>D122-E122</f>
        <v>16000</v>
      </c>
      <c r="G122" s="377">
        <f>SUM(H122:M122)</f>
        <v>2087</v>
      </c>
      <c r="H122" s="302">
        <v>2087</v>
      </c>
      <c r="I122" s="302"/>
      <c r="J122" s="302">
        <v>0</v>
      </c>
      <c r="K122" s="302"/>
      <c r="L122" s="302">
        <v>0</v>
      </c>
      <c r="M122" s="302">
        <v>0</v>
      </c>
      <c r="N122" s="305"/>
    </row>
    <row r="123" spans="1:14" s="16" customFormat="1" ht="16.5" customHeight="1">
      <c r="A123" s="66"/>
      <c r="B123" s="209"/>
      <c r="C123" s="68"/>
      <c r="D123" s="68"/>
      <c r="E123" s="68"/>
      <c r="F123" s="10"/>
      <c r="G123" s="249"/>
      <c r="H123" s="68"/>
      <c r="I123" s="68"/>
      <c r="J123" s="68"/>
      <c r="K123" s="68"/>
      <c r="L123" s="68"/>
      <c r="M123" s="68"/>
      <c r="N123" s="33"/>
    </row>
    <row r="124" spans="1:14" s="16" customFormat="1" ht="16.5" customHeight="1">
      <c r="A124" s="66"/>
      <c r="B124" s="209"/>
      <c r="C124" s="68"/>
      <c r="D124" s="68"/>
      <c r="E124" s="68"/>
      <c r="F124" s="10"/>
      <c r="G124" s="249"/>
      <c r="H124" s="68"/>
      <c r="I124" s="68"/>
      <c r="J124" s="68"/>
      <c r="K124" s="68"/>
      <c r="L124" s="68"/>
      <c r="M124" s="68"/>
      <c r="N124" s="33"/>
    </row>
    <row r="125" spans="1:14" s="16" customFormat="1" ht="42.75">
      <c r="A125" s="66">
        <v>4</v>
      </c>
      <c r="B125" s="232" t="s">
        <v>421</v>
      </c>
      <c r="C125" s="341">
        <v>13538</v>
      </c>
      <c r="D125" s="341">
        <f>C125</f>
        <v>13538</v>
      </c>
      <c r="E125" s="341">
        <v>0</v>
      </c>
      <c r="F125" s="304">
        <f>D125-E125</f>
        <v>13538</v>
      </c>
      <c r="G125" s="377">
        <f>SUM(H125:M125)</f>
        <v>2257</v>
      </c>
      <c r="H125" s="302">
        <v>2257</v>
      </c>
      <c r="I125" s="302"/>
      <c r="J125" s="302">
        <v>0</v>
      </c>
      <c r="K125" s="302"/>
      <c r="L125" s="302">
        <v>0</v>
      </c>
      <c r="M125" s="302">
        <v>0</v>
      </c>
      <c r="N125" s="305" t="s">
        <v>32</v>
      </c>
    </row>
    <row r="126" spans="1:14" s="16" customFormat="1" ht="27" customHeight="1">
      <c r="A126" s="66"/>
      <c r="B126" s="196" t="s">
        <v>439</v>
      </c>
      <c r="C126" s="302">
        <v>13000</v>
      </c>
      <c r="D126" s="302">
        <f>C126</f>
        <v>13000</v>
      </c>
      <c r="E126" s="302">
        <v>0</v>
      </c>
      <c r="F126" s="304">
        <f>D126-E126</f>
        <v>13000</v>
      </c>
      <c r="G126" s="377">
        <f>SUM(H126:M126)</f>
        <v>2257</v>
      </c>
      <c r="H126" s="302">
        <v>2257</v>
      </c>
      <c r="I126" s="302"/>
      <c r="J126" s="302">
        <v>0</v>
      </c>
      <c r="K126" s="302"/>
      <c r="L126" s="302">
        <v>0</v>
      </c>
      <c r="M126" s="302">
        <v>0</v>
      </c>
      <c r="N126" s="305"/>
    </row>
    <row r="127" spans="1:14" s="16" customFormat="1" ht="15.75" customHeight="1">
      <c r="A127" s="66"/>
      <c r="B127" s="196"/>
      <c r="C127" s="68"/>
      <c r="D127" s="68"/>
      <c r="E127" s="68"/>
      <c r="F127" s="10"/>
      <c r="G127" s="249"/>
      <c r="H127" s="68"/>
      <c r="I127" s="68"/>
      <c r="J127" s="68"/>
      <c r="K127" s="68"/>
      <c r="L127" s="68"/>
      <c r="M127" s="68"/>
      <c r="N127" s="33"/>
    </row>
    <row r="128" spans="1:14" s="16" customFormat="1" ht="15.75" customHeight="1">
      <c r="A128" s="66"/>
      <c r="B128" s="196"/>
      <c r="C128" s="68"/>
      <c r="D128" s="68"/>
      <c r="E128" s="68"/>
      <c r="F128" s="10"/>
      <c r="G128" s="249"/>
      <c r="H128" s="68"/>
      <c r="I128" s="68"/>
      <c r="J128" s="68"/>
      <c r="K128" s="68"/>
      <c r="L128" s="68"/>
      <c r="M128" s="68"/>
      <c r="N128" s="33"/>
    </row>
    <row r="129" spans="1:14" s="16" customFormat="1" ht="27" customHeight="1">
      <c r="A129" s="66">
        <v>5</v>
      </c>
      <c r="B129" s="232" t="s">
        <v>422</v>
      </c>
      <c r="C129" s="341">
        <v>23574</v>
      </c>
      <c r="D129" s="341">
        <f>C129</f>
        <v>23574</v>
      </c>
      <c r="E129" s="341">
        <v>0</v>
      </c>
      <c r="F129" s="304">
        <f>D129-E129</f>
        <v>23574</v>
      </c>
      <c r="G129" s="377">
        <f>SUM(H129:M129)</f>
        <v>3929</v>
      </c>
      <c r="H129" s="302">
        <v>3929</v>
      </c>
      <c r="I129" s="302"/>
      <c r="J129" s="302">
        <v>0</v>
      </c>
      <c r="K129" s="302"/>
      <c r="L129" s="302">
        <v>0</v>
      </c>
      <c r="M129" s="302">
        <v>0</v>
      </c>
      <c r="N129" s="305" t="s">
        <v>32</v>
      </c>
    </row>
    <row r="130" spans="1:14" s="16" customFormat="1" ht="27" customHeight="1">
      <c r="A130" s="66"/>
      <c r="B130" s="196" t="s">
        <v>440</v>
      </c>
      <c r="C130" s="302">
        <v>20000</v>
      </c>
      <c r="D130" s="302">
        <f>C130</f>
        <v>20000</v>
      </c>
      <c r="E130" s="302">
        <v>0</v>
      </c>
      <c r="F130" s="304">
        <f>D130-E130</f>
        <v>20000</v>
      </c>
      <c r="G130" s="377">
        <f>SUM(H130:M130)</f>
        <v>3929</v>
      </c>
      <c r="H130" s="302">
        <v>3929</v>
      </c>
      <c r="I130" s="302"/>
      <c r="J130" s="302">
        <v>0</v>
      </c>
      <c r="K130" s="302"/>
      <c r="L130" s="302">
        <v>0</v>
      </c>
      <c r="M130" s="302">
        <v>0</v>
      </c>
      <c r="N130" s="305"/>
    </row>
    <row r="131" spans="1:14" s="16" customFormat="1" ht="14.25" customHeight="1">
      <c r="A131" s="66"/>
      <c r="B131" s="196"/>
      <c r="C131" s="68"/>
      <c r="D131" s="68"/>
      <c r="E131" s="68"/>
      <c r="F131" s="10"/>
      <c r="G131" s="68"/>
      <c r="H131" s="68"/>
      <c r="I131" s="68"/>
      <c r="J131" s="68"/>
      <c r="K131" s="68"/>
      <c r="L131" s="68"/>
      <c r="M131" s="68"/>
      <c r="N131" s="33"/>
    </row>
    <row r="132" spans="1:14" s="16" customFormat="1" ht="14.25" customHeight="1">
      <c r="A132" s="66"/>
      <c r="B132" s="196"/>
      <c r="C132" s="68"/>
      <c r="D132" s="68"/>
      <c r="E132" s="68"/>
      <c r="F132" s="10"/>
      <c r="G132" s="68"/>
      <c r="H132" s="68"/>
      <c r="I132" s="68"/>
      <c r="J132" s="68"/>
      <c r="K132" s="68"/>
      <c r="L132" s="68"/>
      <c r="M132" s="68"/>
      <c r="N132" s="33"/>
    </row>
    <row r="133" spans="1:14" s="16" customFormat="1" ht="27" customHeight="1">
      <c r="A133" s="66">
        <v>6</v>
      </c>
      <c r="B133" s="232" t="s">
        <v>423</v>
      </c>
      <c r="C133" s="341">
        <v>5893</v>
      </c>
      <c r="D133" s="341">
        <f>C133</f>
        <v>5893</v>
      </c>
      <c r="E133" s="341">
        <v>0</v>
      </c>
      <c r="F133" s="304">
        <f>D133-E133</f>
        <v>5893</v>
      </c>
      <c r="G133" s="377">
        <f>SUM(H133:M133)</f>
        <v>998</v>
      </c>
      <c r="H133" s="302">
        <v>998</v>
      </c>
      <c r="I133" s="302"/>
      <c r="J133" s="302">
        <v>0</v>
      </c>
      <c r="K133" s="302"/>
      <c r="L133" s="302">
        <v>0</v>
      </c>
      <c r="M133" s="302">
        <v>0</v>
      </c>
      <c r="N133" s="305" t="s">
        <v>32</v>
      </c>
    </row>
    <row r="134" spans="1:14" s="16" customFormat="1" ht="27" customHeight="1">
      <c r="A134" s="66"/>
      <c r="B134" s="196" t="s">
        <v>441</v>
      </c>
      <c r="C134" s="302">
        <v>5000</v>
      </c>
      <c r="D134" s="302">
        <f>C134</f>
        <v>5000</v>
      </c>
      <c r="E134" s="302">
        <v>0</v>
      </c>
      <c r="F134" s="304">
        <f>D134-E134</f>
        <v>5000</v>
      </c>
      <c r="G134" s="377">
        <f>SUM(H134:M134)</f>
        <v>998</v>
      </c>
      <c r="H134" s="302">
        <v>998</v>
      </c>
      <c r="I134" s="302"/>
      <c r="J134" s="302">
        <v>0</v>
      </c>
      <c r="K134" s="302"/>
      <c r="L134" s="302">
        <v>0</v>
      </c>
      <c r="M134" s="302">
        <v>0</v>
      </c>
      <c r="N134" s="305"/>
    </row>
    <row r="135" spans="1:14" s="16" customFormat="1" ht="15.75" customHeight="1">
      <c r="A135" s="66"/>
      <c r="B135" s="196"/>
      <c r="C135" s="68"/>
      <c r="D135" s="68"/>
      <c r="E135" s="68"/>
      <c r="F135" s="10"/>
      <c r="G135" s="68"/>
      <c r="H135" s="68"/>
      <c r="I135" s="68"/>
      <c r="J135" s="68"/>
      <c r="K135" s="68"/>
      <c r="L135" s="68"/>
      <c r="M135" s="68"/>
      <c r="N135" s="33"/>
    </row>
    <row r="136" spans="1:14" s="16" customFormat="1" ht="15.75" customHeight="1">
      <c r="A136" s="66"/>
      <c r="B136" s="196"/>
      <c r="C136" s="68"/>
      <c r="D136" s="68"/>
      <c r="E136" s="68"/>
      <c r="F136" s="10"/>
      <c r="G136" s="68"/>
      <c r="H136" s="68"/>
      <c r="I136" s="68"/>
      <c r="J136" s="68"/>
      <c r="K136" s="68"/>
      <c r="L136" s="68"/>
      <c r="M136" s="68"/>
      <c r="N136" s="33"/>
    </row>
    <row r="137" spans="1:14" s="16" customFormat="1" ht="57">
      <c r="A137" s="66">
        <v>7</v>
      </c>
      <c r="B137" s="232" t="s">
        <v>424</v>
      </c>
      <c r="C137" s="341">
        <v>2406</v>
      </c>
      <c r="D137" s="341">
        <f>C137</f>
        <v>2406</v>
      </c>
      <c r="E137" s="341">
        <v>0</v>
      </c>
      <c r="F137" s="304">
        <f>D137-E137</f>
        <v>2406</v>
      </c>
      <c r="G137" s="377">
        <f>SUM(H137:M137)</f>
        <v>602</v>
      </c>
      <c r="H137" s="302">
        <v>602</v>
      </c>
      <c r="I137" s="302"/>
      <c r="J137" s="302">
        <v>0</v>
      </c>
      <c r="K137" s="302"/>
      <c r="L137" s="302">
        <v>0</v>
      </c>
      <c r="M137" s="302">
        <v>0</v>
      </c>
      <c r="N137" s="305" t="s">
        <v>32</v>
      </c>
    </row>
    <row r="138" spans="1:14" s="16" customFormat="1" ht="21" customHeight="1">
      <c r="A138" s="66"/>
      <c r="B138" s="196" t="s">
        <v>442</v>
      </c>
      <c r="C138" s="302">
        <v>2000</v>
      </c>
      <c r="D138" s="302">
        <f>C138</f>
        <v>2000</v>
      </c>
      <c r="E138" s="302">
        <v>0</v>
      </c>
      <c r="F138" s="304">
        <f>D138-E138</f>
        <v>2000</v>
      </c>
      <c r="G138" s="377">
        <f>SUM(H138:M138)</f>
        <v>602</v>
      </c>
      <c r="H138" s="302">
        <v>602</v>
      </c>
      <c r="I138" s="302"/>
      <c r="J138" s="302">
        <v>0</v>
      </c>
      <c r="K138" s="302"/>
      <c r="L138" s="302">
        <v>0</v>
      </c>
      <c r="M138" s="302">
        <v>0</v>
      </c>
      <c r="N138" s="305"/>
    </row>
    <row r="139" spans="1:14" s="16" customFormat="1" ht="13.5" customHeight="1">
      <c r="A139" s="66"/>
      <c r="B139" s="196"/>
      <c r="C139" s="68"/>
      <c r="D139" s="68"/>
      <c r="E139" s="68"/>
      <c r="F139" s="10"/>
      <c r="G139" s="68"/>
      <c r="H139" s="68"/>
      <c r="I139" s="68"/>
      <c r="J139" s="68"/>
      <c r="K139" s="68"/>
      <c r="L139" s="68"/>
      <c r="M139" s="68"/>
      <c r="N139" s="33"/>
    </row>
    <row r="140" spans="1:14" s="16" customFormat="1" ht="13.5" customHeight="1">
      <c r="A140" s="66"/>
      <c r="B140" s="196"/>
      <c r="C140" s="68"/>
      <c r="D140" s="68"/>
      <c r="E140" s="68"/>
      <c r="F140" s="10"/>
      <c r="G140" s="68"/>
      <c r="H140" s="68"/>
      <c r="I140" s="68"/>
      <c r="J140" s="68"/>
      <c r="K140" s="68"/>
      <c r="L140" s="68"/>
      <c r="M140" s="68"/>
      <c r="N140" s="33"/>
    </row>
    <row r="141" spans="1:14" s="16" customFormat="1" ht="57">
      <c r="A141" s="66">
        <v>8</v>
      </c>
      <c r="B141" s="232" t="s">
        <v>425</v>
      </c>
      <c r="C141" s="341">
        <v>17445</v>
      </c>
      <c r="D141" s="341">
        <f>C141</f>
        <v>17445</v>
      </c>
      <c r="E141" s="341">
        <v>0</v>
      </c>
      <c r="F141" s="304">
        <f>D141-E141</f>
        <v>17445</v>
      </c>
      <c r="G141" s="377">
        <f>SUM(H141:M141)</f>
        <v>4341</v>
      </c>
      <c r="H141" s="302">
        <v>4341</v>
      </c>
      <c r="I141" s="302"/>
      <c r="J141" s="302">
        <v>0</v>
      </c>
      <c r="K141" s="302"/>
      <c r="L141" s="302">
        <v>0</v>
      </c>
      <c r="M141" s="302">
        <v>0</v>
      </c>
      <c r="N141" s="305" t="s">
        <v>32</v>
      </c>
    </row>
    <row r="142" spans="1:14" s="16" customFormat="1" ht="19.5" customHeight="1">
      <c r="A142" s="66"/>
      <c r="B142" s="196" t="s">
        <v>443</v>
      </c>
      <c r="C142" s="302">
        <v>17000</v>
      </c>
      <c r="D142" s="302">
        <f>C142</f>
        <v>17000</v>
      </c>
      <c r="E142" s="302">
        <v>0</v>
      </c>
      <c r="F142" s="304">
        <f>D142-E142</f>
        <v>17000</v>
      </c>
      <c r="G142" s="377">
        <f>SUM(H142:M142)</f>
        <v>4341</v>
      </c>
      <c r="H142" s="302">
        <v>4341</v>
      </c>
      <c r="I142" s="302"/>
      <c r="J142" s="302">
        <v>0</v>
      </c>
      <c r="K142" s="302"/>
      <c r="L142" s="302">
        <v>0</v>
      </c>
      <c r="M142" s="302">
        <v>0</v>
      </c>
      <c r="N142" s="305"/>
    </row>
    <row r="143" spans="1:14" s="16" customFormat="1" ht="12.75" customHeight="1">
      <c r="A143" s="66"/>
      <c r="B143" s="196"/>
      <c r="C143" s="68"/>
      <c r="D143" s="68"/>
      <c r="E143" s="68"/>
      <c r="F143" s="10"/>
      <c r="G143" s="68"/>
      <c r="H143" s="68"/>
      <c r="I143" s="68"/>
      <c r="J143" s="68"/>
      <c r="K143" s="68"/>
      <c r="L143" s="68"/>
      <c r="M143" s="68"/>
      <c r="N143" s="33"/>
    </row>
    <row r="144" spans="1:14" s="16" customFormat="1" ht="12.75" customHeight="1">
      <c r="A144" s="66"/>
      <c r="B144" s="196"/>
      <c r="C144" s="68"/>
      <c r="D144" s="68"/>
      <c r="E144" s="68"/>
      <c r="F144" s="10"/>
      <c r="G144" s="68"/>
      <c r="H144" s="68"/>
      <c r="I144" s="68"/>
      <c r="J144" s="68"/>
      <c r="K144" s="68"/>
      <c r="L144" s="68"/>
      <c r="M144" s="68"/>
      <c r="N144" s="33"/>
    </row>
    <row r="145" spans="1:14" s="16" customFormat="1" ht="57">
      <c r="A145" s="66">
        <v>9</v>
      </c>
      <c r="B145" s="232" t="s">
        <v>426</v>
      </c>
      <c r="C145" s="341">
        <v>2245</v>
      </c>
      <c r="D145" s="341">
        <f>C145</f>
        <v>2245</v>
      </c>
      <c r="E145" s="341">
        <v>0</v>
      </c>
      <c r="F145" s="304">
        <f>D145-E145</f>
        <v>2245</v>
      </c>
      <c r="G145" s="377">
        <f>SUM(H145:M145)</f>
        <v>561</v>
      </c>
      <c r="H145" s="302">
        <v>561</v>
      </c>
      <c r="I145" s="302"/>
      <c r="J145" s="302">
        <v>0</v>
      </c>
      <c r="K145" s="302"/>
      <c r="L145" s="302">
        <v>0</v>
      </c>
      <c r="M145" s="302">
        <v>0</v>
      </c>
      <c r="N145" s="305" t="s">
        <v>32</v>
      </c>
    </row>
    <row r="146" spans="1:14" s="16" customFormat="1" ht="27" customHeight="1">
      <c r="A146" s="66"/>
      <c r="B146" s="196" t="s">
        <v>444</v>
      </c>
      <c r="C146" s="302">
        <v>2000</v>
      </c>
      <c r="D146" s="302">
        <f>C146</f>
        <v>2000</v>
      </c>
      <c r="E146" s="302">
        <v>0</v>
      </c>
      <c r="F146" s="304">
        <f>D146-E146</f>
        <v>2000</v>
      </c>
      <c r="G146" s="377">
        <f>SUM(H146:M146)</f>
        <v>561</v>
      </c>
      <c r="H146" s="302">
        <v>561</v>
      </c>
      <c r="I146" s="302"/>
      <c r="J146" s="302">
        <v>0</v>
      </c>
      <c r="K146" s="302"/>
      <c r="L146" s="302">
        <v>0</v>
      </c>
      <c r="M146" s="302">
        <v>0</v>
      </c>
      <c r="N146" s="305"/>
    </row>
    <row r="147" spans="1:14" s="16" customFormat="1" ht="15" customHeight="1">
      <c r="A147" s="66"/>
      <c r="B147" s="196"/>
      <c r="C147" s="68"/>
      <c r="D147" s="68"/>
      <c r="E147" s="68"/>
      <c r="F147" s="10"/>
      <c r="G147" s="68"/>
      <c r="H147" s="68"/>
      <c r="I147" s="68"/>
      <c r="J147" s="68"/>
      <c r="K147" s="68"/>
      <c r="L147" s="68"/>
      <c r="M147" s="68"/>
      <c r="N147" s="33"/>
    </row>
    <row r="148" spans="1:14" s="16" customFormat="1" ht="15" customHeight="1">
      <c r="A148" s="66"/>
      <c r="B148" s="196"/>
      <c r="C148" s="68"/>
      <c r="D148" s="68"/>
      <c r="E148" s="68"/>
      <c r="F148" s="10"/>
      <c r="G148" s="68"/>
      <c r="H148" s="68"/>
      <c r="I148" s="68"/>
      <c r="J148" s="68"/>
      <c r="K148" s="68"/>
      <c r="L148" s="68"/>
      <c r="M148" s="68"/>
      <c r="N148" s="33"/>
    </row>
    <row r="149" spans="1:14" s="16" customFormat="1" ht="42.75">
      <c r="A149" s="66">
        <v>10</v>
      </c>
      <c r="B149" s="232" t="s">
        <v>427</v>
      </c>
      <c r="C149" s="341">
        <v>12621</v>
      </c>
      <c r="D149" s="341">
        <f>C149</f>
        <v>12621</v>
      </c>
      <c r="E149" s="341">
        <v>0</v>
      </c>
      <c r="F149" s="304">
        <f>D149-E149</f>
        <v>12621</v>
      </c>
      <c r="G149" s="377">
        <f>SUM(H149:M149)</f>
        <v>2103</v>
      </c>
      <c r="H149" s="302">
        <v>2103</v>
      </c>
      <c r="I149" s="302"/>
      <c r="J149" s="302">
        <v>0</v>
      </c>
      <c r="K149" s="302"/>
      <c r="L149" s="302">
        <v>0</v>
      </c>
      <c r="M149" s="302">
        <v>0</v>
      </c>
      <c r="N149" s="305" t="s">
        <v>32</v>
      </c>
    </row>
    <row r="150" spans="1:14" s="16" customFormat="1" ht="27" customHeight="1">
      <c r="A150" s="66"/>
      <c r="B150" s="196" t="s">
        <v>445</v>
      </c>
      <c r="C150" s="302">
        <v>12200</v>
      </c>
      <c r="D150" s="302">
        <f>C150</f>
        <v>12200</v>
      </c>
      <c r="E150" s="302">
        <v>0</v>
      </c>
      <c r="F150" s="304">
        <f>D150-E150</f>
        <v>12200</v>
      </c>
      <c r="G150" s="377">
        <f>SUM(H150:M150)</f>
        <v>2103</v>
      </c>
      <c r="H150" s="302">
        <v>2103</v>
      </c>
      <c r="I150" s="302"/>
      <c r="J150" s="302">
        <v>0</v>
      </c>
      <c r="K150" s="302"/>
      <c r="L150" s="302">
        <v>0</v>
      </c>
      <c r="M150" s="302">
        <v>0</v>
      </c>
      <c r="N150" s="305"/>
    </row>
    <row r="151" spans="1:14" s="16" customFormat="1" ht="15.75" customHeight="1">
      <c r="A151" s="66"/>
      <c r="B151" s="196"/>
      <c r="C151" s="68"/>
      <c r="D151" s="68"/>
      <c r="E151" s="68"/>
      <c r="F151" s="10"/>
      <c r="G151" s="68"/>
      <c r="H151" s="68"/>
      <c r="I151" s="68"/>
      <c r="J151" s="68"/>
      <c r="K151" s="68"/>
      <c r="L151" s="68"/>
      <c r="M151" s="68"/>
      <c r="N151" s="33"/>
    </row>
    <row r="152" spans="1:14" s="16" customFormat="1" ht="15.75" customHeight="1">
      <c r="A152" s="66"/>
      <c r="B152" s="196"/>
      <c r="C152" s="68"/>
      <c r="D152" s="68"/>
      <c r="E152" s="68"/>
      <c r="F152" s="10"/>
      <c r="G152" s="68"/>
      <c r="H152" s="68"/>
      <c r="I152" s="68"/>
      <c r="J152" s="68"/>
      <c r="K152" s="68"/>
      <c r="L152" s="68"/>
      <c r="M152" s="68"/>
      <c r="N152" s="33"/>
    </row>
    <row r="153" spans="1:14" s="16" customFormat="1" ht="57">
      <c r="A153" s="66">
        <v>11</v>
      </c>
      <c r="B153" s="232" t="s">
        <v>428</v>
      </c>
      <c r="C153" s="341">
        <v>8051</v>
      </c>
      <c r="D153" s="341">
        <f>C153</f>
        <v>8051</v>
      </c>
      <c r="E153" s="341">
        <v>0</v>
      </c>
      <c r="F153" s="304">
        <f>D153-E153</f>
        <v>8051</v>
      </c>
      <c r="G153" s="377">
        <f>SUM(H153:M153)</f>
        <v>1341</v>
      </c>
      <c r="H153" s="302">
        <v>1341</v>
      </c>
      <c r="I153" s="302"/>
      <c r="J153" s="302">
        <v>0</v>
      </c>
      <c r="K153" s="302"/>
      <c r="L153" s="302">
        <v>0</v>
      </c>
      <c r="M153" s="302">
        <v>0</v>
      </c>
      <c r="N153" s="305" t="s">
        <v>32</v>
      </c>
    </row>
    <row r="154" spans="1:14" s="16" customFormat="1" ht="27" customHeight="1">
      <c r="A154" s="66"/>
      <c r="B154" s="196" t="s">
        <v>446</v>
      </c>
      <c r="C154" s="302">
        <v>7500</v>
      </c>
      <c r="D154" s="302">
        <f>C154</f>
        <v>7500</v>
      </c>
      <c r="E154" s="302">
        <v>0</v>
      </c>
      <c r="F154" s="304">
        <f>D154-E154</f>
        <v>7500</v>
      </c>
      <c r="G154" s="377">
        <f>SUM(H154:M154)</f>
        <v>1341</v>
      </c>
      <c r="H154" s="302">
        <v>1341</v>
      </c>
      <c r="I154" s="302"/>
      <c r="J154" s="302">
        <v>0</v>
      </c>
      <c r="K154" s="302"/>
      <c r="L154" s="302">
        <v>0</v>
      </c>
      <c r="M154" s="302">
        <v>0</v>
      </c>
      <c r="N154" s="305"/>
    </row>
    <row r="155" spans="1:14" s="16" customFormat="1" ht="15" customHeight="1">
      <c r="A155" s="66"/>
      <c r="B155" s="196"/>
      <c r="C155" s="68"/>
      <c r="D155" s="68"/>
      <c r="E155" s="68"/>
      <c r="F155" s="10"/>
      <c r="G155" s="68"/>
      <c r="H155" s="68"/>
      <c r="I155" s="68"/>
      <c r="J155" s="68"/>
      <c r="K155" s="68"/>
      <c r="L155" s="68"/>
      <c r="M155" s="68"/>
      <c r="N155" s="33"/>
    </row>
    <row r="156" spans="1:14" s="16" customFormat="1" ht="15" customHeight="1">
      <c r="A156" s="66"/>
      <c r="B156" s="196"/>
      <c r="C156" s="68"/>
      <c r="D156" s="68"/>
      <c r="E156" s="68"/>
      <c r="F156" s="10"/>
      <c r="G156" s="68"/>
      <c r="H156" s="68"/>
      <c r="I156" s="68"/>
      <c r="J156" s="68"/>
      <c r="K156" s="68"/>
      <c r="L156" s="68"/>
      <c r="M156" s="68"/>
      <c r="N156" s="33"/>
    </row>
    <row r="157" spans="1:14" s="16" customFormat="1" ht="57">
      <c r="A157" s="66">
        <v>12</v>
      </c>
      <c r="B157" s="232" t="s">
        <v>429</v>
      </c>
      <c r="C157" s="341">
        <v>7388</v>
      </c>
      <c r="D157" s="341">
        <f>C157</f>
        <v>7388</v>
      </c>
      <c r="E157" s="341">
        <v>0</v>
      </c>
      <c r="F157" s="304">
        <f>D157-E157</f>
        <v>7388</v>
      </c>
      <c r="G157" s="377">
        <f>SUM(H157:M157)</f>
        <v>1846</v>
      </c>
      <c r="H157" s="302">
        <v>1846</v>
      </c>
      <c r="I157" s="302"/>
      <c r="J157" s="302">
        <v>0</v>
      </c>
      <c r="K157" s="302"/>
      <c r="L157" s="302">
        <v>0</v>
      </c>
      <c r="M157" s="302">
        <v>0</v>
      </c>
      <c r="N157" s="305" t="s">
        <v>32</v>
      </c>
    </row>
    <row r="158" spans="1:14" s="16" customFormat="1" ht="27" customHeight="1">
      <c r="A158" s="66"/>
      <c r="B158" s="196" t="s">
        <v>447</v>
      </c>
      <c r="C158" s="302">
        <v>7000</v>
      </c>
      <c r="D158" s="302">
        <f>C158</f>
        <v>7000</v>
      </c>
      <c r="E158" s="302">
        <v>0</v>
      </c>
      <c r="F158" s="304">
        <f>D158-E158</f>
        <v>7000</v>
      </c>
      <c r="G158" s="377">
        <f>SUM(H158:M158)</f>
        <v>1846</v>
      </c>
      <c r="H158" s="302">
        <v>1846</v>
      </c>
      <c r="I158" s="302"/>
      <c r="J158" s="302">
        <v>0</v>
      </c>
      <c r="K158" s="302"/>
      <c r="L158" s="302">
        <v>0</v>
      </c>
      <c r="M158" s="302">
        <v>0</v>
      </c>
      <c r="N158" s="305"/>
    </row>
    <row r="159" spans="1:14" s="16" customFormat="1" ht="14.25" customHeight="1">
      <c r="A159" s="66"/>
      <c r="B159" s="196"/>
      <c r="C159" s="68"/>
      <c r="D159" s="68"/>
      <c r="E159" s="68"/>
      <c r="F159" s="10"/>
      <c r="G159" s="68"/>
      <c r="H159" s="68"/>
      <c r="I159" s="68"/>
      <c r="J159" s="68"/>
      <c r="K159" s="68"/>
      <c r="L159" s="68"/>
      <c r="M159" s="68"/>
      <c r="N159" s="33"/>
    </row>
    <row r="160" spans="1:14" s="16" customFormat="1" ht="14.25" customHeight="1">
      <c r="A160" s="66"/>
      <c r="B160" s="196"/>
      <c r="C160" s="68"/>
      <c r="D160" s="68"/>
      <c r="E160" s="68"/>
      <c r="F160" s="10"/>
      <c r="G160" s="68"/>
      <c r="H160" s="68"/>
      <c r="I160" s="68"/>
      <c r="J160" s="68"/>
      <c r="K160" s="68"/>
      <c r="L160" s="68"/>
      <c r="M160" s="68"/>
      <c r="N160" s="33"/>
    </row>
    <row r="161" spans="1:14" s="16" customFormat="1" ht="42.75">
      <c r="A161" s="66">
        <v>13</v>
      </c>
      <c r="B161" s="232" t="s">
        <v>430</v>
      </c>
      <c r="C161" s="341">
        <v>7397</v>
      </c>
      <c r="D161" s="341">
        <f>C161</f>
        <v>7397</v>
      </c>
      <c r="E161" s="341">
        <v>0</v>
      </c>
      <c r="F161" s="304">
        <f>D161-E161</f>
        <v>7397</v>
      </c>
      <c r="G161" s="377">
        <f>SUM(H161:M161)</f>
        <v>1232</v>
      </c>
      <c r="H161" s="302">
        <v>1232</v>
      </c>
      <c r="I161" s="302"/>
      <c r="J161" s="302">
        <v>0</v>
      </c>
      <c r="K161" s="302"/>
      <c r="L161" s="302">
        <v>0</v>
      </c>
      <c r="M161" s="302">
        <v>0</v>
      </c>
      <c r="N161" s="305" t="s">
        <v>32</v>
      </c>
    </row>
    <row r="162" spans="1:14" s="16" customFormat="1" ht="27" customHeight="1">
      <c r="A162" s="66"/>
      <c r="B162" s="196" t="s">
        <v>448</v>
      </c>
      <c r="C162" s="302">
        <v>7000</v>
      </c>
      <c r="D162" s="302">
        <f>C162</f>
        <v>7000</v>
      </c>
      <c r="E162" s="302">
        <v>0</v>
      </c>
      <c r="F162" s="304">
        <f>D162-E162</f>
        <v>7000</v>
      </c>
      <c r="G162" s="377">
        <f>SUM(H162:M162)</f>
        <v>1232</v>
      </c>
      <c r="H162" s="302">
        <v>1232</v>
      </c>
      <c r="I162" s="302"/>
      <c r="J162" s="302">
        <v>0</v>
      </c>
      <c r="K162" s="302"/>
      <c r="L162" s="302">
        <v>0</v>
      </c>
      <c r="M162" s="302">
        <v>0</v>
      </c>
      <c r="N162" s="305"/>
    </row>
    <row r="163" spans="1:14" s="16" customFormat="1" ht="19.5" customHeight="1">
      <c r="A163" s="66"/>
      <c r="B163" s="196"/>
      <c r="C163" s="68"/>
      <c r="D163" s="68"/>
      <c r="E163" s="68"/>
      <c r="F163" s="10"/>
      <c r="G163" s="68"/>
      <c r="H163" s="68"/>
      <c r="I163" s="68"/>
      <c r="J163" s="68"/>
      <c r="K163" s="68"/>
      <c r="L163" s="68"/>
      <c r="M163" s="68"/>
      <c r="N163" s="33"/>
    </row>
    <row r="164" spans="1:14" s="16" customFormat="1" ht="19.5" customHeight="1">
      <c r="A164" s="66"/>
      <c r="B164" s="196"/>
      <c r="C164" s="68"/>
      <c r="D164" s="68"/>
      <c r="E164" s="68"/>
      <c r="F164" s="10"/>
      <c r="G164" s="68"/>
      <c r="H164" s="68"/>
      <c r="I164" s="68"/>
      <c r="J164" s="68"/>
      <c r="K164" s="68"/>
      <c r="L164" s="68"/>
      <c r="M164" s="68"/>
      <c r="N164" s="33"/>
    </row>
    <row r="165" spans="1:14" s="16" customFormat="1" ht="42.75">
      <c r="A165" s="66">
        <v>14</v>
      </c>
      <c r="B165" s="232" t="s">
        <v>431</v>
      </c>
      <c r="C165" s="341">
        <v>5769</v>
      </c>
      <c r="D165" s="341">
        <f>C165</f>
        <v>5769</v>
      </c>
      <c r="E165" s="341">
        <v>0</v>
      </c>
      <c r="F165" s="304">
        <f>D165-E165</f>
        <v>5769</v>
      </c>
      <c r="G165" s="377">
        <f>SUM(H165:M165)</f>
        <v>961</v>
      </c>
      <c r="H165" s="302">
        <v>961</v>
      </c>
      <c r="I165" s="302"/>
      <c r="J165" s="302">
        <v>0</v>
      </c>
      <c r="K165" s="302"/>
      <c r="L165" s="302">
        <v>0</v>
      </c>
      <c r="M165" s="302">
        <v>0</v>
      </c>
      <c r="N165" s="305" t="s">
        <v>32</v>
      </c>
    </row>
    <row r="166" spans="1:14" s="16" customFormat="1" ht="27" customHeight="1">
      <c r="A166" s="66"/>
      <c r="B166" s="196" t="s">
        <v>449</v>
      </c>
      <c r="C166" s="302">
        <v>5200</v>
      </c>
      <c r="D166" s="302">
        <f>C166</f>
        <v>5200</v>
      </c>
      <c r="E166" s="302">
        <v>0</v>
      </c>
      <c r="F166" s="304">
        <f>D166-E166</f>
        <v>5200</v>
      </c>
      <c r="G166" s="377">
        <f>SUM(H166:M166)</f>
        <v>961</v>
      </c>
      <c r="H166" s="302">
        <v>961</v>
      </c>
      <c r="I166" s="302"/>
      <c r="J166" s="302">
        <v>0</v>
      </c>
      <c r="K166" s="302"/>
      <c r="L166" s="302">
        <v>0</v>
      </c>
      <c r="M166" s="302">
        <v>0</v>
      </c>
      <c r="N166" s="305"/>
    </row>
    <row r="167" spans="1:14" s="16" customFormat="1" ht="21.75" customHeight="1">
      <c r="A167" s="66"/>
      <c r="B167" s="209"/>
      <c r="C167" s="68"/>
      <c r="D167" s="68"/>
      <c r="E167" s="68"/>
      <c r="F167" s="10"/>
      <c r="G167" s="249"/>
      <c r="H167" s="68"/>
      <c r="I167" s="68"/>
      <c r="J167" s="68"/>
      <c r="K167" s="68"/>
      <c r="L167" s="68"/>
      <c r="M167" s="68"/>
      <c r="N167" s="33"/>
    </row>
    <row r="168" spans="1:14" s="16" customFormat="1" ht="21.75" customHeight="1">
      <c r="A168" s="66"/>
      <c r="B168" s="209"/>
      <c r="C168" s="68"/>
      <c r="D168" s="68"/>
      <c r="E168" s="68"/>
      <c r="F168" s="10"/>
      <c r="G168" s="249"/>
      <c r="H168" s="68"/>
      <c r="I168" s="68"/>
      <c r="J168" s="68"/>
      <c r="K168" s="68"/>
      <c r="L168" s="68"/>
      <c r="M168" s="68"/>
      <c r="N168" s="33"/>
    </row>
    <row r="169" spans="1:14" s="16" customFormat="1" ht="57">
      <c r="A169" s="66">
        <v>15</v>
      </c>
      <c r="B169" s="232" t="s">
        <v>432</v>
      </c>
      <c r="C169" s="341">
        <v>4976</v>
      </c>
      <c r="D169" s="341">
        <f>C169</f>
        <v>4976</v>
      </c>
      <c r="E169" s="341">
        <v>0</v>
      </c>
      <c r="F169" s="304">
        <f>D169-E169</f>
        <v>4976</v>
      </c>
      <c r="G169" s="377">
        <f>SUM(H169:M169)</f>
        <v>814</v>
      </c>
      <c r="H169" s="302">
        <v>814</v>
      </c>
      <c r="I169" s="302"/>
      <c r="J169" s="302">
        <v>0</v>
      </c>
      <c r="K169" s="302"/>
      <c r="L169" s="302">
        <v>0</v>
      </c>
      <c r="M169" s="302">
        <v>0</v>
      </c>
      <c r="N169" s="305" t="s">
        <v>32</v>
      </c>
    </row>
    <row r="170" spans="1:14" s="16" customFormat="1" ht="26.25" customHeight="1">
      <c r="A170" s="66"/>
      <c r="B170" s="196" t="s">
        <v>450</v>
      </c>
      <c r="C170" s="302">
        <v>4300</v>
      </c>
      <c r="D170" s="302">
        <f>C170</f>
        <v>4300</v>
      </c>
      <c r="E170" s="302">
        <v>0</v>
      </c>
      <c r="F170" s="304">
        <f>D170-E170</f>
        <v>4300</v>
      </c>
      <c r="G170" s="377">
        <f>SUM(H170:M170)</f>
        <v>814</v>
      </c>
      <c r="H170" s="302">
        <v>814</v>
      </c>
      <c r="I170" s="302"/>
      <c r="J170" s="302">
        <v>0</v>
      </c>
      <c r="K170" s="302"/>
      <c r="L170" s="302">
        <v>0</v>
      </c>
      <c r="M170" s="302">
        <v>0</v>
      </c>
      <c r="N170" s="305"/>
    </row>
    <row r="171" spans="1:14" s="16" customFormat="1" ht="18.75" customHeight="1">
      <c r="A171" s="66"/>
      <c r="B171" s="209"/>
      <c r="C171" s="68"/>
      <c r="D171" s="68"/>
      <c r="E171" s="68"/>
      <c r="F171" s="10"/>
      <c r="G171" s="249"/>
      <c r="H171" s="68"/>
      <c r="I171" s="68"/>
      <c r="J171" s="68"/>
      <c r="K171" s="68"/>
      <c r="L171" s="68"/>
      <c r="M171" s="68"/>
      <c r="N171" s="33"/>
    </row>
    <row r="172" spans="1:14" s="16" customFormat="1" ht="18.75" customHeight="1">
      <c r="A172" s="66"/>
      <c r="B172" s="209"/>
      <c r="C172" s="68"/>
      <c r="D172" s="68"/>
      <c r="E172" s="68"/>
      <c r="F172" s="10"/>
      <c r="G172" s="249"/>
      <c r="H172" s="68"/>
      <c r="I172" s="68"/>
      <c r="J172" s="68"/>
      <c r="K172" s="68"/>
      <c r="L172" s="68"/>
      <c r="M172" s="68"/>
      <c r="N172" s="33"/>
    </row>
    <row r="173" spans="1:14" s="16" customFormat="1" ht="42.75">
      <c r="A173" s="66">
        <v>16</v>
      </c>
      <c r="B173" s="232" t="s">
        <v>451</v>
      </c>
      <c r="C173" s="341">
        <v>2164</v>
      </c>
      <c r="D173" s="341">
        <f>C173</f>
        <v>2164</v>
      </c>
      <c r="E173" s="341">
        <v>0</v>
      </c>
      <c r="F173" s="304">
        <f>D173-E173</f>
        <v>2164</v>
      </c>
      <c r="G173" s="377">
        <f>SUM(H173:M173)</f>
        <v>540</v>
      </c>
      <c r="H173" s="302">
        <v>540</v>
      </c>
      <c r="I173" s="302"/>
      <c r="J173" s="302">
        <v>0</v>
      </c>
      <c r="K173" s="302"/>
      <c r="L173" s="302">
        <v>0</v>
      </c>
      <c r="M173" s="302">
        <v>0</v>
      </c>
      <c r="N173" s="305" t="s">
        <v>32</v>
      </c>
    </row>
    <row r="174" spans="1:14" s="16" customFormat="1" ht="27" customHeight="1">
      <c r="A174" s="66"/>
      <c r="B174" s="196" t="s">
        <v>452</v>
      </c>
      <c r="C174" s="302">
        <v>1950</v>
      </c>
      <c r="D174" s="302">
        <f>C174</f>
        <v>1950</v>
      </c>
      <c r="E174" s="302">
        <v>0</v>
      </c>
      <c r="F174" s="304">
        <f>D174-E174</f>
        <v>1950</v>
      </c>
      <c r="G174" s="377">
        <f>SUM(H174:M174)</f>
        <v>540</v>
      </c>
      <c r="H174" s="302">
        <v>540</v>
      </c>
      <c r="I174" s="302"/>
      <c r="J174" s="302">
        <v>0</v>
      </c>
      <c r="K174" s="302"/>
      <c r="L174" s="302">
        <v>0</v>
      </c>
      <c r="M174" s="302">
        <v>0</v>
      </c>
      <c r="N174" s="305"/>
    </row>
    <row r="175" spans="1:14" s="16" customFormat="1" ht="19.5" customHeight="1">
      <c r="A175" s="66"/>
      <c r="B175" s="196"/>
      <c r="C175" s="68"/>
      <c r="D175" s="68"/>
      <c r="E175" s="68"/>
      <c r="F175" s="10"/>
      <c r="G175" s="68"/>
      <c r="H175" s="68"/>
      <c r="I175" s="68"/>
      <c r="J175" s="68"/>
      <c r="K175" s="68"/>
      <c r="L175" s="68"/>
      <c r="M175" s="68"/>
      <c r="N175" s="33"/>
    </row>
    <row r="176" spans="1:14" s="16" customFormat="1" ht="15.75" customHeight="1">
      <c r="A176" s="66"/>
      <c r="B176" s="162"/>
      <c r="C176" s="68"/>
      <c r="D176" s="68"/>
      <c r="E176" s="68"/>
      <c r="F176" s="10"/>
      <c r="G176" s="68"/>
      <c r="H176" s="68"/>
      <c r="I176" s="68"/>
      <c r="J176" s="68"/>
      <c r="K176" s="68"/>
      <c r="L176" s="68"/>
      <c r="M176" s="68"/>
      <c r="N176" s="33"/>
    </row>
    <row r="177" spans="1:14" s="16" customFormat="1" ht="25.5" customHeight="1">
      <c r="A177" s="66" t="s">
        <v>6</v>
      </c>
      <c r="B177" s="47" t="s">
        <v>91</v>
      </c>
      <c r="C177" s="72">
        <f>C180+C181+C182</f>
        <v>11677</v>
      </c>
      <c r="D177" s="72">
        <f aca="true" t="shared" si="19" ref="D177:M177">D180+D181+D182</f>
        <v>11677</v>
      </c>
      <c r="E177" s="72">
        <f t="shared" si="19"/>
        <v>1509</v>
      </c>
      <c r="F177" s="72">
        <f t="shared" si="19"/>
        <v>10168</v>
      </c>
      <c r="G177" s="379">
        <f>G180+G181+G182</f>
        <v>10168</v>
      </c>
      <c r="H177" s="72">
        <f t="shared" si="19"/>
        <v>3950</v>
      </c>
      <c r="I177" s="72">
        <f t="shared" si="19"/>
        <v>0</v>
      </c>
      <c r="J177" s="72">
        <f>J180+J181+J182</f>
        <v>234</v>
      </c>
      <c r="K177" s="72">
        <f t="shared" si="19"/>
        <v>0</v>
      </c>
      <c r="L177" s="72">
        <f t="shared" si="19"/>
        <v>5859</v>
      </c>
      <c r="M177" s="72">
        <f t="shared" si="19"/>
        <v>125</v>
      </c>
      <c r="N177" s="71"/>
    </row>
    <row r="178" spans="1:14" s="16" customFormat="1" ht="25.5" customHeight="1">
      <c r="A178" s="66"/>
      <c r="B178" s="48" t="s">
        <v>12</v>
      </c>
      <c r="C178" s="72">
        <v>0</v>
      </c>
      <c r="D178" s="72">
        <v>0</v>
      </c>
      <c r="E178" s="72">
        <v>0</v>
      </c>
      <c r="F178" s="72">
        <v>0</v>
      </c>
      <c r="G178" s="379">
        <v>0</v>
      </c>
      <c r="H178" s="72">
        <v>0</v>
      </c>
      <c r="I178" s="72">
        <v>0</v>
      </c>
      <c r="J178" s="72">
        <v>0</v>
      </c>
      <c r="K178" s="72">
        <v>0</v>
      </c>
      <c r="L178" s="72">
        <v>0</v>
      </c>
      <c r="M178" s="72">
        <v>0</v>
      </c>
      <c r="N178" s="71"/>
    </row>
    <row r="179" spans="1:14" s="16" customFormat="1" ht="25.5" customHeight="1">
      <c r="A179" s="66"/>
      <c r="B179" s="26" t="s">
        <v>9</v>
      </c>
      <c r="C179" s="68"/>
      <c r="D179" s="68"/>
      <c r="E179" s="68"/>
      <c r="F179" s="68"/>
      <c r="G179" s="68"/>
      <c r="H179" s="68"/>
      <c r="I179" s="68"/>
      <c r="J179" s="68"/>
      <c r="K179" s="68"/>
      <c r="L179" s="68"/>
      <c r="M179" s="68"/>
      <c r="N179" s="71"/>
    </row>
    <row r="180" spans="1:14" s="16" customFormat="1" ht="25.5" customHeight="1">
      <c r="A180" s="66"/>
      <c r="B180" s="34" t="s">
        <v>0</v>
      </c>
      <c r="C180" s="73">
        <f>'Studii si proiecte 2022'!D110</f>
        <v>11156</v>
      </c>
      <c r="D180" s="73">
        <f>'Studii si proiecte 2022'!E110</f>
        <v>11156</v>
      </c>
      <c r="E180" s="73">
        <f>'Studii si proiecte 2022'!F110</f>
        <v>1509</v>
      </c>
      <c r="F180" s="73">
        <f>'Studii si proiecte 2022'!G110</f>
        <v>9647</v>
      </c>
      <c r="G180" s="378">
        <f>'Studii si proiecte 2022'!H110</f>
        <v>9647</v>
      </c>
      <c r="H180" s="73">
        <f>'Studii si proiecte 2022'!I110</f>
        <v>3950</v>
      </c>
      <c r="I180" s="73">
        <f>'Studii si proiecte 2022'!J110</f>
        <v>0</v>
      </c>
      <c r="J180" s="73">
        <f>'Studii si proiecte 2022'!K110</f>
        <v>22</v>
      </c>
      <c r="K180" s="73">
        <f>'Studii si proiecte 2022'!L110</f>
        <v>0</v>
      </c>
      <c r="L180" s="73">
        <f>'Studii si proiecte 2022'!M110</f>
        <v>5675</v>
      </c>
      <c r="M180" s="73">
        <f>'Studii si proiecte 2022'!N110</f>
        <v>0</v>
      </c>
      <c r="N180" s="71"/>
    </row>
    <row r="181" spans="1:14" s="16" customFormat="1" ht="25.5" customHeight="1">
      <c r="A181" s="66"/>
      <c r="B181" s="34" t="s">
        <v>184</v>
      </c>
      <c r="C181" s="73">
        <f>'Dotari 2022'!D39</f>
        <v>356</v>
      </c>
      <c r="D181" s="73">
        <f>'Dotari 2022'!E39</f>
        <v>356</v>
      </c>
      <c r="E181" s="73">
        <f>'Dotari 2022'!F39</f>
        <v>0</v>
      </c>
      <c r="F181" s="73">
        <f>'Dotari 2022'!G39</f>
        <v>356</v>
      </c>
      <c r="G181" s="378">
        <f>'Dotari 2022'!H39</f>
        <v>356</v>
      </c>
      <c r="H181" s="73">
        <f>'Dotari 2022'!I39</f>
        <v>0</v>
      </c>
      <c r="I181" s="73">
        <f>'Dotari 2022'!J39</f>
        <v>0</v>
      </c>
      <c r="J181" s="73">
        <f>'Dotari 2022'!K39</f>
        <v>212</v>
      </c>
      <c r="K181" s="73">
        <f>'Dotari 2022'!L39</f>
        <v>0</v>
      </c>
      <c r="L181" s="73">
        <f>'Dotari 2022'!M39</f>
        <v>144</v>
      </c>
      <c r="M181" s="73">
        <f>'Dotari 2022'!N39</f>
        <v>0</v>
      </c>
      <c r="N181" s="71"/>
    </row>
    <row r="182" spans="1:14" s="16" customFormat="1" ht="25.5" customHeight="1">
      <c r="A182" s="66"/>
      <c r="B182" s="34" t="s">
        <v>85</v>
      </c>
      <c r="C182" s="73">
        <f>'Alte chelt 2022'!D23</f>
        <v>165</v>
      </c>
      <c r="D182" s="73">
        <f>'Alte chelt 2022'!E23</f>
        <v>165</v>
      </c>
      <c r="E182" s="73">
        <f>'Alte chelt 2022'!F23</f>
        <v>0</v>
      </c>
      <c r="F182" s="73">
        <f>'Alte chelt 2022'!G23</f>
        <v>165</v>
      </c>
      <c r="G182" s="378">
        <f>'Alte chelt 2022'!H23</f>
        <v>165</v>
      </c>
      <c r="H182" s="73">
        <f>'Alte chelt 2022'!I23</f>
        <v>0</v>
      </c>
      <c r="I182" s="73">
        <f>'Alte chelt 2022'!J23</f>
        <v>0</v>
      </c>
      <c r="J182" s="73">
        <f>'Alte chelt 2022'!K23</f>
        <v>0</v>
      </c>
      <c r="K182" s="73">
        <f>'Alte chelt 2022'!L23</f>
        <v>0</v>
      </c>
      <c r="L182" s="73">
        <f>'Alte chelt 2022'!M23</f>
        <v>40</v>
      </c>
      <c r="M182" s="73">
        <f>'Alte chelt 2022'!N23</f>
        <v>125</v>
      </c>
      <c r="N182" s="71"/>
    </row>
    <row r="183" spans="1:14" s="16" customFormat="1" ht="18" customHeight="1">
      <c r="A183" s="66"/>
      <c r="B183" s="34"/>
      <c r="C183" s="73"/>
      <c r="D183" s="73"/>
      <c r="E183" s="73"/>
      <c r="F183" s="73"/>
      <c r="G183" s="73"/>
      <c r="H183" s="73"/>
      <c r="I183" s="73"/>
      <c r="J183" s="73"/>
      <c r="K183" s="73"/>
      <c r="L183" s="73"/>
      <c r="M183" s="73"/>
      <c r="N183" s="71"/>
    </row>
    <row r="184" spans="1:14" s="16" customFormat="1" ht="18" customHeight="1">
      <c r="A184" s="66"/>
      <c r="B184" s="34"/>
      <c r="C184" s="73"/>
      <c r="D184" s="73"/>
      <c r="E184" s="73"/>
      <c r="F184" s="73"/>
      <c r="G184" s="73"/>
      <c r="H184" s="73"/>
      <c r="I184" s="73"/>
      <c r="J184" s="73"/>
      <c r="K184" s="73"/>
      <c r="L184" s="73"/>
      <c r="M184" s="73"/>
      <c r="N184" s="71"/>
    </row>
    <row r="185" spans="1:14" s="16" customFormat="1" ht="18" customHeight="1">
      <c r="A185" s="66"/>
      <c r="B185" s="34"/>
      <c r="C185" s="73"/>
      <c r="D185" s="73"/>
      <c r="E185" s="73"/>
      <c r="F185" s="73"/>
      <c r="G185" s="73"/>
      <c r="H185" s="73"/>
      <c r="I185" s="73"/>
      <c r="J185" s="73"/>
      <c r="K185" s="73"/>
      <c r="L185" s="73"/>
      <c r="M185" s="73"/>
      <c r="N185" s="71"/>
    </row>
    <row r="186" spans="1:14" s="16" customFormat="1" ht="18" customHeight="1">
      <c r="A186" s="66"/>
      <c r="B186" s="34"/>
      <c r="C186" s="73"/>
      <c r="D186" s="73"/>
      <c r="E186" s="73"/>
      <c r="F186" s="73"/>
      <c r="G186" s="73"/>
      <c r="H186" s="73"/>
      <c r="I186" s="73"/>
      <c r="J186" s="73"/>
      <c r="K186" s="73"/>
      <c r="L186" s="73"/>
      <c r="M186" s="73"/>
      <c r="N186" s="71"/>
    </row>
    <row r="187" spans="1:14" s="16" customFormat="1" ht="18" customHeight="1">
      <c r="A187" s="66"/>
      <c r="B187" s="34"/>
      <c r="C187" s="73"/>
      <c r="D187" s="73"/>
      <c r="E187" s="73"/>
      <c r="F187" s="73"/>
      <c r="G187" s="73"/>
      <c r="H187" s="73"/>
      <c r="I187" s="73"/>
      <c r="J187" s="73"/>
      <c r="K187" s="73"/>
      <c r="L187" s="73"/>
      <c r="M187" s="73"/>
      <c r="N187" s="71"/>
    </row>
    <row r="188" spans="1:14" s="16" customFormat="1" ht="18" customHeight="1">
      <c r="A188" s="66"/>
      <c r="B188" s="34"/>
      <c r="C188" s="73"/>
      <c r="D188" s="73"/>
      <c r="E188" s="73"/>
      <c r="F188" s="73"/>
      <c r="G188" s="73"/>
      <c r="H188" s="73"/>
      <c r="I188" s="73"/>
      <c r="J188" s="73"/>
      <c r="K188" s="73"/>
      <c r="L188" s="73"/>
      <c r="M188" s="73"/>
      <c r="N188" s="71"/>
    </row>
    <row r="189" spans="1:14" s="16" customFormat="1" ht="18" customHeight="1">
      <c r="A189" s="66"/>
      <c r="B189" s="34"/>
      <c r="C189" s="73"/>
      <c r="D189" s="73"/>
      <c r="E189" s="73"/>
      <c r="F189" s="73"/>
      <c r="G189" s="73"/>
      <c r="H189" s="73"/>
      <c r="I189" s="73"/>
      <c r="J189" s="73"/>
      <c r="K189" s="73"/>
      <c r="L189" s="73"/>
      <c r="M189" s="73"/>
      <c r="N189" s="71"/>
    </row>
    <row r="190" spans="1:14" s="16" customFormat="1" ht="18" customHeight="1">
      <c r="A190" s="66"/>
      <c r="B190" s="34"/>
      <c r="C190" s="73"/>
      <c r="D190" s="73"/>
      <c r="E190" s="73"/>
      <c r="F190" s="73"/>
      <c r="G190" s="73"/>
      <c r="H190" s="73"/>
      <c r="I190" s="73"/>
      <c r="J190" s="73"/>
      <c r="K190" s="73"/>
      <c r="L190" s="73"/>
      <c r="M190" s="73"/>
      <c r="N190" s="71"/>
    </row>
    <row r="191" spans="1:14" s="16" customFormat="1" ht="18" customHeight="1">
      <c r="A191" s="66"/>
      <c r="B191" s="34"/>
      <c r="C191" s="73"/>
      <c r="D191" s="73"/>
      <c r="E191" s="73"/>
      <c r="F191" s="73"/>
      <c r="G191" s="73"/>
      <c r="H191" s="73"/>
      <c r="I191" s="73"/>
      <c r="J191" s="73"/>
      <c r="K191" s="73"/>
      <c r="L191" s="73"/>
      <c r="M191" s="73"/>
      <c r="N191" s="71"/>
    </row>
    <row r="192" spans="1:14" s="16" customFormat="1" ht="18" customHeight="1">
      <c r="A192" s="66"/>
      <c r="B192" s="34"/>
      <c r="C192" s="73"/>
      <c r="D192" s="73"/>
      <c r="E192" s="73"/>
      <c r="F192" s="73"/>
      <c r="G192" s="73"/>
      <c r="H192" s="73"/>
      <c r="I192" s="73"/>
      <c r="J192" s="73"/>
      <c r="K192" s="73"/>
      <c r="L192" s="73"/>
      <c r="M192" s="73"/>
      <c r="N192" s="71"/>
    </row>
    <row r="193" spans="1:14" s="16" customFormat="1" ht="18" customHeight="1">
      <c r="A193" s="66"/>
      <c r="B193" s="34"/>
      <c r="C193" s="73"/>
      <c r="D193" s="73"/>
      <c r="E193" s="73"/>
      <c r="F193" s="73"/>
      <c r="G193" s="73"/>
      <c r="H193" s="73"/>
      <c r="I193" s="73"/>
      <c r="J193" s="73"/>
      <c r="K193" s="73"/>
      <c r="L193" s="73"/>
      <c r="M193" s="73"/>
      <c r="N193" s="71"/>
    </row>
    <row r="194" spans="1:14" s="16" customFormat="1" ht="18" customHeight="1">
      <c r="A194" s="66"/>
      <c r="B194" s="34"/>
      <c r="C194" s="73"/>
      <c r="D194" s="73"/>
      <c r="E194" s="73"/>
      <c r="F194" s="73"/>
      <c r="G194" s="73"/>
      <c r="H194" s="73"/>
      <c r="I194" s="73"/>
      <c r="J194" s="73"/>
      <c r="K194" s="73"/>
      <c r="L194" s="73"/>
      <c r="M194" s="73"/>
      <c r="N194" s="71"/>
    </row>
    <row r="195" spans="1:14" s="16" customFormat="1" ht="18" customHeight="1">
      <c r="A195" s="66"/>
      <c r="B195" s="34"/>
      <c r="C195" s="73"/>
      <c r="D195" s="73"/>
      <c r="E195" s="73"/>
      <c r="F195" s="73"/>
      <c r="G195" s="73"/>
      <c r="H195" s="73"/>
      <c r="I195" s="73"/>
      <c r="J195" s="73"/>
      <c r="K195" s="73"/>
      <c r="L195" s="73"/>
      <c r="M195" s="73"/>
      <c r="N195" s="71"/>
    </row>
    <row r="196" spans="1:14" s="16" customFormat="1" ht="18" customHeight="1">
      <c r="A196" s="66"/>
      <c r="B196" s="34"/>
      <c r="C196" s="73"/>
      <c r="D196" s="73"/>
      <c r="E196" s="73"/>
      <c r="F196" s="73"/>
      <c r="G196" s="73"/>
      <c r="H196" s="73"/>
      <c r="I196" s="73"/>
      <c r="J196" s="73"/>
      <c r="K196" s="73"/>
      <c r="L196" s="73"/>
      <c r="M196" s="73"/>
      <c r="N196" s="71"/>
    </row>
    <row r="197" spans="1:14" s="16" customFormat="1" ht="18" customHeight="1">
      <c r="A197" s="66"/>
      <c r="B197" s="34"/>
      <c r="C197" s="73"/>
      <c r="D197" s="73"/>
      <c r="E197" s="73"/>
      <c r="F197" s="73"/>
      <c r="G197" s="73"/>
      <c r="H197" s="73"/>
      <c r="I197" s="73"/>
      <c r="J197" s="73"/>
      <c r="K197" s="73"/>
      <c r="L197" s="73"/>
      <c r="M197" s="73"/>
      <c r="N197" s="71"/>
    </row>
    <row r="198" spans="1:14" s="16" customFormat="1" ht="28.5" customHeight="1">
      <c r="A198" s="260"/>
      <c r="B198" s="74" t="s">
        <v>73</v>
      </c>
      <c r="C198" s="18" t="s">
        <v>74</v>
      </c>
      <c r="D198" s="18"/>
      <c r="E198" s="18"/>
      <c r="F198" s="18"/>
      <c r="G198" s="277">
        <f>G199-9572</f>
        <v>30971</v>
      </c>
      <c r="H198" s="177"/>
      <c r="I198" s="177"/>
      <c r="J198" s="277">
        <f>J199-3301</f>
        <v>28269</v>
      </c>
      <c r="K198" s="277">
        <f>K199-2370</f>
        <v>-369</v>
      </c>
      <c r="L198" s="278">
        <f>L199-3901</f>
        <v>3071</v>
      </c>
      <c r="M198" s="15" t="s">
        <v>16</v>
      </c>
      <c r="N198" s="71"/>
    </row>
    <row r="199" spans="1:14" s="16" customFormat="1" ht="19.5" customHeight="1">
      <c r="A199" s="66"/>
      <c r="B199" s="26" t="s">
        <v>9</v>
      </c>
      <c r="C199" s="75">
        <f aca="true" t="shared" si="20" ref="C199:M199">C202+C205+C211</f>
        <v>64478</v>
      </c>
      <c r="D199" s="75">
        <f t="shared" si="20"/>
        <v>64478</v>
      </c>
      <c r="E199" s="75">
        <f t="shared" si="20"/>
        <v>3935</v>
      </c>
      <c r="F199" s="75">
        <f t="shared" si="20"/>
        <v>60543</v>
      </c>
      <c r="G199" s="377">
        <f t="shared" si="20"/>
        <v>40543</v>
      </c>
      <c r="H199" s="75">
        <f t="shared" si="20"/>
        <v>0</v>
      </c>
      <c r="I199" s="75">
        <f t="shared" si="20"/>
        <v>0</v>
      </c>
      <c r="J199" s="75">
        <f t="shared" si="20"/>
        <v>31570</v>
      </c>
      <c r="K199" s="75">
        <f t="shared" si="20"/>
        <v>2001</v>
      </c>
      <c r="L199" s="75">
        <f t="shared" si="20"/>
        <v>6972</v>
      </c>
      <c r="M199" s="75">
        <f t="shared" si="20"/>
        <v>0</v>
      </c>
      <c r="N199" s="71"/>
    </row>
    <row r="200" spans="1:14" s="16" customFormat="1" ht="19.5" customHeight="1">
      <c r="A200" s="66"/>
      <c r="B200" s="34"/>
      <c r="C200" s="75">
        <f aca="true" t="shared" si="21" ref="C200:M200">C203+C206+C212</f>
        <v>0</v>
      </c>
      <c r="D200" s="75">
        <f t="shared" si="21"/>
        <v>0</v>
      </c>
      <c r="E200" s="75">
        <f t="shared" si="21"/>
        <v>0</v>
      </c>
      <c r="F200" s="75">
        <f t="shared" si="21"/>
        <v>0</v>
      </c>
      <c r="G200" s="377">
        <f t="shared" si="21"/>
        <v>0</v>
      </c>
      <c r="H200" s="75">
        <f t="shared" si="21"/>
        <v>0</v>
      </c>
      <c r="I200" s="75">
        <f t="shared" si="21"/>
        <v>0</v>
      </c>
      <c r="J200" s="75">
        <f t="shared" si="21"/>
        <v>0</v>
      </c>
      <c r="K200" s="75">
        <f t="shared" si="21"/>
        <v>0</v>
      </c>
      <c r="L200" s="75">
        <f t="shared" si="21"/>
        <v>0</v>
      </c>
      <c r="M200" s="75">
        <f t="shared" si="21"/>
        <v>0</v>
      </c>
      <c r="N200" s="71"/>
    </row>
    <row r="201" spans="1:14" s="16" customFormat="1" ht="19.5" customHeight="1">
      <c r="A201" s="66"/>
      <c r="B201" s="34"/>
      <c r="C201" s="68"/>
      <c r="D201" s="68"/>
      <c r="E201" s="68"/>
      <c r="F201" s="68"/>
      <c r="G201" s="249"/>
      <c r="H201" s="249"/>
      <c r="I201" s="249"/>
      <c r="J201" s="249"/>
      <c r="K201" s="249"/>
      <c r="L201" s="249"/>
      <c r="M201" s="68"/>
      <c r="N201" s="71"/>
    </row>
    <row r="202" spans="1:14" s="16" customFormat="1" ht="19.5" customHeight="1">
      <c r="A202" s="66" t="s">
        <v>52</v>
      </c>
      <c r="B202" s="47" t="s">
        <v>10</v>
      </c>
      <c r="C202" s="67">
        <v>0</v>
      </c>
      <c r="D202" s="67">
        <v>0</v>
      </c>
      <c r="E202" s="67">
        <v>0</v>
      </c>
      <c r="F202" s="67">
        <v>0</v>
      </c>
      <c r="G202" s="377">
        <f>SUM(H202:M202)</f>
        <v>0</v>
      </c>
      <c r="H202" s="67">
        <v>0</v>
      </c>
      <c r="I202" s="67">
        <v>0</v>
      </c>
      <c r="J202" s="67">
        <v>0</v>
      </c>
      <c r="K202" s="67">
        <v>0</v>
      </c>
      <c r="L202" s="67">
        <v>0</v>
      </c>
      <c r="M202" s="67">
        <v>0</v>
      </c>
      <c r="N202" s="71"/>
    </row>
    <row r="203" spans="1:14" s="16" customFormat="1" ht="19.5" customHeight="1">
      <c r="A203" s="66"/>
      <c r="B203" s="48" t="s">
        <v>3</v>
      </c>
      <c r="C203" s="67">
        <v>0</v>
      </c>
      <c r="D203" s="67">
        <v>0</v>
      </c>
      <c r="E203" s="67">
        <v>0</v>
      </c>
      <c r="F203" s="67">
        <v>0</v>
      </c>
      <c r="G203" s="377">
        <f>SUM(H203:M203)</f>
        <v>0</v>
      </c>
      <c r="H203" s="67">
        <v>0</v>
      </c>
      <c r="I203" s="67">
        <v>0</v>
      </c>
      <c r="J203" s="67">
        <v>0</v>
      </c>
      <c r="K203" s="67">
        <v>0</v>
      </c>
      <c r="L203" s="67">
        <v>0</v>
      </c>
      <c r="M203" s="67">
        <v>0</v>
      </c>
      <c r="N203" s="71"/>
    </row>
    <row r="204" spans="1:14" s="16" customFormat="1" ht="19.5" customHeight="1">
      <c r="A204" s="66"/>
      <c r="B204" s="43"/>
      <c r="C204" s="68"/>
      <c r="D204" s="68"/>
      <c r="E204" s="68"/>
      <c r="F204" s="68"/>
      <c r="G204" s="249"/>
      <c r="H204" s="68"/>
      <c r="I204" s="68"/>
      <c r="J204" s="68"/>
      <c r="K204" s="68"/>
      <c r="L204" s="68"/>
      <c r="M204" s="68"/>
      <c r="N204" s="33"/>
    </row>
    <row r="205" spans="1:14" s="16" customFormat="1" ht="19.5" customHeight="1">
      <c r="A205" s="17" t="s">
        <v>4</v>
      </c>
      <c r="B205" s="47" t="s">
        <v>10</v>
      </c>
      <c r="C205" s="72">
        <f>C208</f>
        <v>0</v>
      </c>
      <c r="D205" s="72">
        <f aca="true" t="shared" si="22" ref="D205:M205">D208</f>
        <v>0</v>
      </c>
      <c r="E205" s="72">
        <f t="shared" si="22"/>
        <v>0</v>
      </c>
      <c r="F205" s="72">
        <f t="shared" si="22"/>
        <v>0</v>
      </c>
      <c r="G205" s="379">
        <f t="shared" si="22"/>
        <v>0</v>
      </c>
      <c r="H205" s="72">
        <f t="shared" si="22"/>
        <v>0</v>
      </c>
      <c r="I205" s="72">
        <f t="shared" si="22"/>
        <v>0</v>
      </c>
      <c r="J205" s="72">
        <f t="shared" si="22"/>
        <v>0</v>
      </c>
      <c r="K205" s="72">
        <f t="shared" si="22"/>
        <v>0</v>
      </c>
      <c r="L205" s="72">
        <f t="shared" si="22"/>
        <v>0</v>
      </c>
      <c r="M205" s="72">
        <f t="shared" si="22"/>
        <v>0</v>
      </c>
      <c r="N205" s="33"/>
    </row>
    <row r="206" spans="1:14" s="16" customFormat="1" ht="19.5" customHeight="1">
      <c r="A206" s="66"/>
      <c r="B206" s="48" t="s">
        <v>5</v>
      </c>
      <c r="C206" s="72">
        <f>C209</f>
        <v>0</v>
      </c>
      <c r="D206" s="72">
        <f aca="true" t="shared" si="23" ref="D206:M206">D209</f>
        <v>0</v>
      </c>
      <c r="E206" s="72">
        <f t="shared" si="23"/>
        <v>0</v>
      </c>
      <c r="F206" s="72">
        <f t="shared" si="23"/>
        <v>0</v>
      </c>
      <c r="G206" s="379">
        <f t="shared" si="23"/>
        <v>0</v>
      </c>
      <c r="H206" s="72">
        <f t="shared" si="23"/>
        <v>0</v>
      </c>
      <c r="I206" s="72">
        <f t="shared" si="23"/>
        <v>0</v>
      </c>
      <c r="J206" s="72">
        <f t="shared" si="23"/>
        <v>0</v>
      </c>
      <c r="K206" s="72">
        <f t="shared" si="23"/>
        <v>0</v>
      </c>
      <c r="L206" s="72">
        <f t="shared" si="23"/>
        <v>0</v>
      </c>
      <c r="M206" s="72">
        <f t="shared" si="23"/>
        <v>0</v>
      </c>
      <c r="N206" s="71"/>
    </row>
    <row r="207" spans="1:14" s="16" customFormat="1" ht="19.5" customHeight="1">
      <c r="A207" s="66"/>
      <c r="B207" s="43"/>
      <c r="C207" s="68"/>
      <c r="D207" s="68"/>
      <c r="E207" s="68"/>
      <c r="F207" s="68"/>
      <c r="G207" s="249"/>
      <c r="H207" s="68"/>
      <c r="I207" s="68"/>
      <c r="J207" s="68"/>
      <c r="K207" s="68"/>
      <c r="L207" s="68"/>
      <c r="M207" s="68"/>
      <c r="N207" s="71"/>
    </row>
    <row r="208" spans="1:14" s="16" customFormat="1" ht="39.75" customHeight="1" hidden="1">
      <c r="A208" s="66">
        <v>1</v>
      </c>
      <c r="B208" s="232" t="s">
        <v>290</v>
      </c>
      <c r="C208" s="231">
        <v>0</v>
      </c>
      <c r="D208" s="231">
        <f>C208</f>
        <v>0</v>
      </c>
      <c r="E208" s="231">
        <v>0</v>
      </c>
      <c r="F208" s="11">
        <f>D208-E208</f>
        <v>0</v>
      </c>
      <c r="G208" s="75">
        <f>SUM(H208:M208)</f>
        <v>0</v>
      </c>
      <c r="H208" s="67"/>
      <c r="I208" s="67"/>
      <c r="J208" s="67">
        <v>0</v>
      </c>
      <c r="K208" s="67"/>
      <c r="L208" s="67">
        <v>0</v>
      </c>
      <c r="M208" s="67">
        <v>0</v>
      </c>
      <c r="N208" s="33" t="s">
        <v>32</v>
      </c>
    </row>
    <row r="209" spans="1:14" s="16" customFormat="1" ht="19.5" customHeight="1" hidden="1">
      <c r="A209" s="66"/>
      <c r="B209" s="196" t="s">
        <v>243</v>
      </c>
      <c r="C209" s="67">
        <v>0</v>
      </c>
      <c r="D209" s="67">
        <f>C209</f>
        <v>0</v>
      </c>
      <c r="E209" s="67">
        <v>0</v>
      </c>
      <c r="F209" s="11">
        <f>D209-E209</f>
        <v>0</v>
      </c>
      <c r="G209" s="75">
        <f>SUM(H209:M209)</f>
        <v>0</v>
      </c>
      <c r="H209" s="67"/>
      <c r="I209" s="67"/>
      <c r="J209" s="67">
        <v>0</v>
      </c>
      <c r="K209" s="67"/>
      <c r="L209" s="67">
        <v>0</v>
      </c>
      <c r="M209" s="67">
        <v>0</v>
      </c>
      <c r="N209" s="33"/>
    </row>
    <row r="210" spans="1:14" s="16" customFormat="1" ht="19.5" customHeight="1" hidden="1">
      <c r="A210" s="66"/>
      <c r="B210" s="43"/>
      <c r="C210" s="68"/>
      <c r="D210" s="68"/>
      <c r="E210" s="68"/>
      <c r="F210" s="68"/>
      <c r="G210" s="249"/>
      <c r="H210" s="68"/>
      <c r="I210" s="68"/>
      <c r="J210" s="68"/>
      <c r="K210" s="68"/>
      <c r="L210" s="68"/>
      <c r="M210" s="68"/>
      <c r="N210" s="71"/>
    </row>
    <row r="211" spans="1:14" s="16" customFormat="1" ht="19.5" customHeight="1">
      <c r="A211" s="66" t="s">
        <v>6</v>
      </c>
      <c r="B211" s="47" t="s">
        <v>11</v>
      </c>
      <c r="C211" s="67">
        <f>C214+C215+C216</f>
        <v>64478</v>
      </c>
      <c r="D211" s="67">
        <f aca="true" t="shared" si="24" ref="D211:M211">D214+D215+D216</f>
        <v>64478</v>
      </c>
      <c r="E211" s="67">
        <f t="shared" si="24"/>
        <v>3935</v>
      </c>
      <c r="F211" s="67">
        <f t="shared" si="24"/>
        <v>60543</v>
      </c>
      <c r="G211" s="377">
        <f>G214+G215+G216</f>
        <v>40543</v>
      </c>
      <c r="H211" s="67">
        <f t="shared" si="24"/>
        <v>0</v>
      </c>
      <c r="I211" s="67">
        <f t="shared" si="24"/>
        <v>0</v>
      </c>
      <c r="J211" s="67">
        <f t="shared" si="24"/>
        <v>31570</v>
      </c>
      <c r="K211" s="67">
        <f>K214+K215+K216</f>
        <v>2001</v>
      </c>
      <c r="L211" s="67">
        <f t="shared" si="24"/>
        <v>6972</v>
      </c>
      <c r="M211" s="67">
        <f t="shared" si="24"/>
        <v>0</v>
      </c>
      <c r="N211" s="71"/>
    </row>
    <row r="212" spans="1:14" s="16" customFormat="1" ht="19.5" customHeight="1">
      <c r="A212" s="66"/>
      <c r="B212" s="48" t="s">
        <v>12</v>
      </c>
      <c r="C212" s="67"/>
      <c r="D212" s="67"/>
      <c r="E212" s="67"/>
      <c r="F212" s="67"/>
      <c r="G212" s="377"/>
      <c r="H212" s="67"/>
      <c r="I212" s="67"/>
      <c r="J212" s="67"/>
      <c r="K212" s="67"/>
      <c r="L212" s="67"/>
      <c r="M212" s="67"/>
      <c r="N212" s="71"/>
    </row>
    <row r="213" spans="1:14" s="16" customFormat="1" ht="19.5" customHeight="1">
      <c r="A213" s="66"/>
      <c r="B213" s="26" t="s">
        <v>9</v>
      </c>
      <c r="C213" s="73"/>
      <c r="D213" s="73"/>
      <c r="E213" s="73"/>
      <c r="F213" s="73"/>
      <c r="G213" s="363"/>
      <c r="H213" s="73"/>
      <c r="I213" s="73"/>
      <c r="J213" s="73"/>
      <c r="K213" s="73"/>
      <c r="L213" s="73"/>
      <c r="M213" s="73"/>
      <c r="N213" s="71"/>
    </row>
    <row r="214" spans="1:14" s="16" customFormat="1" ht="19.5" customHeight="1">
      <c r="A214" s="59"/>
      <c r="B214" s="169" t="s">
        <v>86</v>
      </c>
      <c r="C214" s="73">
        <f>'Studii si proiecte 2022'!D117</f>
        <v>10755</v>
      </c>
      <c r="D214" s="73">
        <f>'Studii si proiecte 2022'!E117</f>
        <v>10755</v>
      </c>
      <c r="E214" s="73">
        <f>'Studii si proiecte 2022'!F117</f>
        <v>3935</v>
      </c>
      <c r="F214" s="73">
        <f>'Studii si proiecte 2022'!G117</f>
        <v>6820</v>
      </c>
      <c r="G214" s="378">
        <f>'Studii si proiecte 2022'!H117</f>
        <v>6820</v>
      </c>
      <c r="H214" s="73">
        <f>'Studii si proiecte 2022'!I117</f>
        <v>0</v>
      </c>
      <c r="I214" s="73">
        <f>'Studii si proiecte 2022'!J117</f>
        <v>0</v>
      </c>
      <c r="J214" s="73">
        <f>'Studii si proiecte 2022'!K117</f>
        <v>0</v>
      </c>
      <c r="K214" s="73">
        <f>'Studii si proiecte 2022'!L117</f>
        <v>20</v>
      </c>
      <c r="L214" s="73">
        <f>'Studii si proiecte 2022'!M117</f>
        <v>6800</v>
      </c>
      <c r="M214" s="73">
        <f>'Studii si proiecte 2022'!N117</f>
        <v>0</v>
      </c>
      <c r="N214" s="71"/>
    </row>
    <row r="215" spans="1:14" s="16" customFormat="1" ht="19.5" customHeight="1">
      <c r="A215" s="59"/>
      <c r="B215" s="169" t="s">
        <v>82</v>
      </c>
      <c r="C215" s="60">
        <f>'Dotari 2022'!D44</f>
        <v>172</v>
      </c>
      <c r="D215" s="60">
        <f>'Dotari 2022'!E44</f>
        <v>172</v>
      </c>
      <c r="E215" s="60">
        <f>'Dotari 2022'!F44</f>
        <v>0</v>
      </c>
      <c r="F215" s="60">
        <f>'Dotari 2022'!G44</f>
        <v>172</v>
      </c>
      <c r="G215" s="384">
        <f>'Dotari 2022'!H44</f>
        <v>172</v>
      </c>
      <c r="H215" s="60">
        <f>'Dotari 2022'!I44</f>
        <v>0</v>
      </c>
      <c r="I215" s="60">
        <f>'Dotari 2022'!J44</f>
        <v>0</v>
      </c>
      <c r="J215" s="60">
        <f>'Dotari 2022'!K44</f>
        <v>0</v>
      </c>
      <c r="K215" s="60">
        <f>'Dotari 2022'!L44</f>
        <v>0</v>
      </c>
      <c r="L215" s="60">
        <f>'Dotari 2022'!M44</f>
        <v>172</v>
      </c>
      <c r="M215" s="60">
        <f>'Dotari 2022'!N44</f>
        <v>0</v>
      </c>
      <c r="N215" s="71"/>
    </row>
    <row r="216" spans="1:14" s="16" customFormat="1" ht="19.5" customHeight="1">
      <c r="A216" s="59"/>
      <c r="B216" s="169" t="s">
        <v>84</v>
      </c>
      <c r="C216" s="60">
        <f>'Alte chelt 2022'!D35</f>
        <v>53551</v>
      </c>
      <c r="D216" s="60">
        <f>'Alte chelt 2022'!E35</f>
        <v>53551</v>
      </c>
      <c r="E216" s="60">
        <f>'Alte chelt 2022'!F35</f>
        <v>0</v>
      </c>
      <c r="F216" s="60">
        <f>'Alte chelt 2022'!G35</f>
        <v>53551</v>
      </c>
      <c r="G216" s="384">
        <f>'Alte chelt 2022'!H35</f>
        <v>33551</v>
      </c>
      <c r="H216" s="60">
        <f>'Alte chelt 2022'!I35</f>
        <v>0</v>
      </c>
      <c r="I216" s="60">
        <f>'Alte chelt 2022'!J35</f>
        <v>0</v>
      </c>
      <c r="J216" s="60">
        <f>'Alte chelt 2022'!K35</f>
        <v>31570</v>
      </c>
      <c r="K216" s="60">
        <f>'Alte chelt 2022'!L35</f>
        <v>1981</v>
      </c>
      <c r="L216" s="60">
        <f>'Alte chelt 2022'!M35</f>
        <v>0</v>
      </c>
      <c r="M216" s="60">
        <f>'Alte chelt 2022'!N35</f>
        <v>0</v>
      </c>
      <c r="N216" s="71"/>
    </row>
    <row r="217" spans="1:14" s="16" customFormat="1" ht="19.5" customHeight="1">
      <c r="A217" s="59"/>
      <c r="B217" s="169"/>
      <c r="C217" s="60"/>
      <c r="D217" s="60"/>
      <c r="E217" s="60"/>
      <c r="F217" s="60"/>
      <c r="G217" s="60"/>
      <c r="H217" s="60"/>
      <c r="I217" s="60"/>
      <c r="J217" s="60"/>
      <c r="K217" s="60"/>
      <c r="L217" s="60"/>
      <c r="M217" s="60"/>
      <c r="N217" s="71"/>
    </row>
    <row r="218" spans="1:14" s="16" customFormat="1" ht="19.5" customHeight="1">
      <c r="A218" s="59"/>
      <c r="B218" s="169"/>
      <c r="C218" s="60"/>
      <c r="D218" s="60"/>
      <c r="E218" s="60"/>
      <c r="F218" s="60"/>
      <c r="G218" s="60"/>
      <c r="H218" s="60"/>
      <c r="I218" s="60"/>
      <c r="J218" s="60"/>
      <c r="K218" s="60"/>
      <c r="L218" s="60"/>
      <c r="M218" s="60"/>
      <c r="N218" s="71"/>
    </row>
    <row r="219" spans="1:14" s="16" customFormat="1" ht="19.5" customHeight="1">
      <c r="A219" s="59"/>
      <c r="B219" s="169"/>
      <c r="C219" s="60"/>
      <c r="D219" s="60"/>
      <c r="E219" s="60"/>
      <c r="F219" s="60"/>
      <c r="G219" s="60"/>
      <c r="H219" s="60"/>
      <c r="I219" s="60"/>
      <c r="J219" s="60"/>
      <c r="K219" s="60"/>
      <c r="L219" s="60"/>
      <c r="M219" s="60"/>
      <c r="N219" s="71"/>
    </row>
    <row r="220" spans="1:14" s="16" customFormat="1" ht="23.25" customHeight="1">
      <c r="A220" s="59"/>
      <c r="B220" s="169"/>
      <c r="C220" s="60"/>
      <c r="D220" s="60"/>
      <c r="E220" s="60"/>
      <c r="F220" s="60"/>
      <c r="G220" s="60"/>
      <c r="H220" s="60"/>
      <c r="I220" s="60"/>
      <c r="J220" s="60"/>
      <c r="K220" s="60"/>
      <c r="L220" s="60"/>
      <c r="M220" s="60"/>
      <c r="N220" s="71"/>
    </row>
    <row r="221" spans="1:14" s="16" customFormat="1" ht="12" customHeight="1">
      <c r="A221" s="59"/>
      <c r="B221" s="169"/>
      <c r="C221" s="60"/>
      <c r="D221" s="60"/>
      <c r="E221" s="60"/>
      <c r="F221" s="60"/>
      <c r="G221" s="60"/>
      <c r="H221" s="60"/>
      <c r="I221" s="60"/>
      <c r="J221" s="60"/>
      <c r="K221" s="60"/>
      <c r="L221" s="60"/>
      <c r="M221" s="60"/>
      <c r="N221" s="71"/>
    </row>
    <row r="222" spans="1:14" s="16" customFormat="1" ht="9" customHeight="1">
      <c r="A222" s="59"/>
      <c r="B222" s="169"/>
      <c r="C222" s="60"/>
      <c r="D222" s="60"/>
      <c r="E222" s="60"/>
      <c r="F222" s="60"/>
      <c r="G222" s="60"/>
      <c r="H222" s="60"/>
      <c r="I222" s="60"/>
      <c r="J222" s="60"/>
      <c r="K222" s="60"/>
      <c r="L222" s="60"/>
      <c r="M222" s="60"/>
      <c r="N222" s="71"/>
    </row>
    <row r="223" spans="1:14" s="16" customFormat="1" ht="30.75" customHeight="1">
      <c r="A223" s="21"/>
      <c r="B223" s="178" t="s">
        <v>60</v>
      </c>
      <c r="C223" s="23" t="s">
        <v>61</v>
      </c>
      <c r="D223" s="24"/>
      <c r="E223" s="24"/>
      <c r="F223" s="24"/>
      <c r="G223" s="279">
        <f>G224-19050</f>
        <v>20274</v>
      </c>
      <c r="H223" s="279"/>
      <c r="I223" s="279"/>
      <c r="J223" s="279">
        <f>J224-11283</f>
        <v>-2598</v>
      </c>
      <c r="K223" s="279">
        <f>K224-2181</f>
        <v>-374</v>
      </c>
      <c r="L223" s="279">
        <f>L224-5586</f>
        <v>23246</v>
      </c>
      <c r="M223" s="10" t="s">
        <v>16</v>
      </c>
      <c r="N223" s="71"/>
    </row>
    <row r="224" spans="1:14" s="16" customFormat="1" ht="22.5" customHeight="1">
      <c r="A224" s="25"/>
      <c r="B224" s="26" t="s">
        <v>9</v>
      </c>
      <c r="C224" s="27">
        <f aca="true" t="shared" si="25" ref="C224:M224">C227+C234+C250</f>
        <v>61321</v>
      </c>
      <c r="D224" s="27">
        <f t="shared" si="25"/>
        <v>68814</v>
      </c>
      <c r="E224" s="27">
        <f t="shared" si="25"/>
        <v>4260</v>
      </c>
      <c r="F224" s="27">
        <f t="shared" si="25"/>
        <v>64554</v>
      </c>
      <c r="G224" s="376">
        <f t="shared" si="25"/>
        <v>39324</v>
      </c>
      <c r="H224" s="27">
        <f t="shared" si="25"/>
        <v>0</v>
      </c>
      <c r="I224" s="27">
        <f t="shared" si="25"/>
        <v>0</v>
      </c>
      <c r="J224" s="27">
        <f t="shared" si="25"/>
        <v>8685</v>
      </c>
      <c r="K224" s="27">
        <f t="shared" si="25"/>
        <v>1807</v>
      </c>
      <c r="L224" s="27">
        <f t="shared" si="25"/>
        <v>28832</v>
      </c>
      <c r="M224" s="27">
        <f t="shared" si="25"/>
        <v>0</v>
      </c>
      <c r="N224" s="71"/>
    </row>
    <row r="225" spans="1:14" s="16" customFormat="1" ht="22.5" customHeight="1">
      <c r="A225" s="28"/>
      <c r="B225" s="29"/>
      <c r="C225" s="27">
        <f aca="true" t="shared" si="26" ref="C225:M225">C228+C235+C251</f>
        <v>37747</v>
      </c>
      <c r="D225" s="27">
        <f t="shared" si="26"/>
        <v>46643</v>
      </c>
      <c r="E225" s="27">
        <f t="shared" si="26"/>
        <v>3562</v>
      </c>
      <c r="F225" s="27">
        <f t="shared" si="26"/>
        <v>43081</v>
      </c>
      <c r="G225" s="376">
        <f t="shared" si="26"/>
        <v>24500</v>
      </c>
      <c r="H225" s="27">
        <f t="shared" si="26"/>
        <v>0</v>
      </c>
      <c r="I225" s="27">
        <f t="shared" si="26"/>
        <v>0</v>
      </c>
      <c r="J225" s="27">
        <f t="shared" si="26"/>
        <v>8500</v>
      </c>
      <c r="K225" s="27">
        <f t="shared" si="26"/>
        <v>0</v>
      </c>
      <c r="L225" s="27">
        <f t="shared" si="26"/>
        <v>16000</v>
      </c>
      <c r="M225" s="27">
        <f t="shared" si="26"/>
        <v>0</v>
      </c>
      <c r="N225" s="71"/>
    </row>
    <row r="226" spans="1:14" s="16" customFormat="1" ht="24.75" customHeight="1">
      <c r="A226" s="45"/>
      <c r="B226" s="161"/>
      <c r="C226" s="63"/>
      <c r="D226" s="63"/>
      <c r="E226" s="63"/>
      <c r="F226" s="63"/>
      <c r="G226" s="61"/>
      <c r="H226" s="76"/>
      <c r="I226" s="76"/>
      <c r="J226" s="76"/>
      <c r="K226" s="76"/>
      <c r="L226" s="76"/>
      <c r="M226" s="63"/>
      <c r="N226" s="71"/>
    </row>
    <row r="227" spans="1:14" s="16" customFormat="1" ht="19.5" customHeight="1">
      <c r="A227" s="28" t="s">
        <v>1</v>
      </c>
      <c r="B227" s="47" t="s">
        <v>2</v>
      </c>
      <c r="C227" s="11">
        <f>C230</f>
        <v>4864</v>
      </c>
      <c r="D227" s="11">
        <f aca="true" t="shared" si="27" ref="D227:M227">D230</f>
        <v>12357</v>
      </c>
      <c r="E227" s="11">
        <f t="shared" si="27"/>
        <v>3674</v>
      </c>
      <c r="F227" s="11">
        <f t="shared" si="27"/>
        <v>8683</v>
      </c>
      <c r="G227" s="376">
        <f t="shared" si="27"/>
        <v>8683</v>
      </c>
      <c r="H227" s="11">
        <f t="shared" si="27"/>
        <v>0</v>
      </c>
      <c r="I227" s="11">
        <f t="shared" si="27"/>
        <v>0</v>
      </c>
      <c r="J227" s="11">
        <f t="shared" si="27"/>
        <v>8683</v>
      </c>
      <c r="K227" s="11">
        <f t="shared" si="27"/>
        <v>0</v>
      </c>
      <c r="L227" s="11">
        <f t="shared" si="27"/>
        <v>0</v>
      </c>
      <c r="M227" s="11">
        <f t="shared" si="27"/>
        <v>0</v>
      </c>
      <c r="N227" s="71"/>
    </row>
    <row r="228" spans="1:14" s="16" customFormat="1" ht="19.5" customHeight="1">
      <c r="A228" s="28"/>
      <c r="B228" s="48" t="s">
        <v>3</v>
      </c>
      <c r="C228" s="11">
        <f>C231</f>
        <v>3166</v>
      </c>
      <c r="D228" s="11">
        <f aca="true" t="shared" si="28" ref="D228:M228">D231</f>
        <v>12062</v>
      </c>
      <c r="E228" s="11">
        <f t="shared" si="28"/>
        <v>3562</v>
      </c>
      <c r="F228" s="11">
        <f t="shared" si="28"/>
        <v>8500</v>
      </c>
      <c r="G228" s="376">
        <f t="shared" si="28"/>
        <v>8500</v>
      </c>
      <c r="H228" s="11">
        <f t="shared" si="28"/>
        <v>0</v>
      </c>
      <c r="I228" s="11">
        <f t="shared" si="28"/>
        <v>0</v>
      </c>
      <c r="J228" s="11">
        <f t="shared" si="28"/>
        <v>8500</v>
      </c>
      <c r="K228" s="11">
        <f t="shared" si="28"/>
        <v>0</v>
      </c>
      <c r="L228" s="11">
        <f t="shared" si="28"/>
        <v>0</v>
      </c>
      <c r="M228" s="11">
        <f t="shared" si="28"/>
        <v>0</v>
      </c>
      <c r="N228" s="71"/>
    </row>
    <row r="229" spans="1:14" s="16" customFormat="1" ht="19.5" customHeight="1">
      <c r="A229" s="28"/>
      <c r="B229" s="43"/>
      <c r="C229" s="10"/>
      <c r="D229" s="10"/>
      <c r="E229" s="10"/>
      <c r="F229" s="10"/>
      <c r="G229" s="61"/>
      <c r="H229" s="10"/>
      <c r="I229" s="10"/>
      <c r="J229" s="10"/>
      <c r="K229" s="10"/>
      <c r="L229" s="10"/>
      <c r="M229" s="10"/>
      <c r="N229" s="71"/>
    </row>
    <row r="230" spans="1:14" s="16" customFormat="1" ht="57">
      <c r="A230" s="66">
        <v>1</v>
      </c>
      <c r="B230" s="232" t="s">
        <v>291</v>
      </c>
      <c r="C230" s="341">
        <v>4864</v>
      </c>
      <c r="D230" s="341">
        <f>10939+518+900</f>
        <v>12357</v>
      </c>
      <c r="E230" s="341">
        <f>174+3500</f>
        <v>3674</v>
      </c>
      <c r="F230" s="304">
        <f>D230-E230</f>
        <v>8683</v>
      </c>
      <c r="G230" s="377">
        <f>SUM(H230:M230)</f>
        <v>8683</v>
      </c>
      <c r="H230" s="302"/>
      <c r="I230" s="302"/>
      <c r="J230" s="302">
        <v>8683</v>
      </c>
      <c r="K230" s="302"/>
      <c r="L230" s="302">
        <v>0</v>
      </c>
      <c r="M230" s="302">
        <v>0</v>
      </c>
      <c r="N230" s="305" t="s">
        <v>32</v>
      </c>
    </row>
    <row r="231" spans="1:14" s="16" customFormat="1" ht="19.5" customHeight="1">
      <c r="A231" s="66"/>
      <c r="B231" s="196" t="s">
        <v>156</v>
      </c>
      <c r="C231" s="302">
        <v>3166</v>
      </c>
      <c r="D231" s="302">
        <f>7418+2025+7719-5100</f>
        <v>12062</v>
      </c>
      <c r="E231" s="302">
        <f>162+3400</f>
        <v>3562</v>
      </c>
      <c r="F231" s="304">
        <f>D231-E231</f>
        <v>8500</v>
      </c>
      <c r="G231" s="377">
        <f>SUM(H231:M231)</f>
        <v>8500</v>
      </c>
      <c r="H231" s="302"/>
      <c r="I231" s="302"/>
      <c r="J231" s="302">
        <v>8500</v>
      </c>
      <c r="K231" s="302"/>
      <c r="L231" s="302">
        <v>0</v>
      </c>
      <c r="M231" s="302">
        <v>0</v>
      </c>
      <c r="N231" s="305"/>
    </row>
    <row r="232" spans="1:14" s="16" customFormat="1" ht="15.75" customHeight="1">
      <c r="A232" s="66"/>
      <c r="B232" s="196"/>
      <c r="C232" s="68"/>
      <c r="D232" s="68"/>
      <c r="E232" s="68"/>
      <c r="F232" s="10"/>
      <c r="G232" s="249"/>
      <c r="H232" s="68"/>
      <c r="I232" s="68"/>
      <c r="J232" s="68"/>
      <c r="K232" s="68"/>
      <c r="L232" s="68"/>
      <c r="M232" s="68"/>
      <c r="N232" s="33"/>
    </row>
    <row r="233" spans="1:14" s="16" customFormat="1" ht="15.75" customHeight="1">
      <c r="A233" s="28"/>
      <c r="B233" s="161"/>
      <c r="C233" s="63"/>
      <c r="D233" s="63"/>
      <c r="E233" s="63"/>
      <c r="F233" s="63"/>
      <c r="G233" s="61"/>
      <c r="H233" s="63"/>
      <c r="I233" s="63"/>
      <c r="J233" s="10"/>
      <c r="K233" s="10"/>
      <c r="L233" s="63"/>
      <c r="M233" s="63"/>
      <c r="N233" s="71"/>
    </row>
    <row r="234" spans="1:14" s="16" customFormat="1" ht="32.25" customHeight="1">
      <c r="A234" s="28" t="s">
        <v>4</v>
      </c>
      <c r="B234" s="47" t="s">
        <v>10</v>
      </c>
      <c r="C234" s="11">
        <f>C237+C241+C245</f>
        <v>42529</v>
      </c>
      <c r="D234" s="11">
        <f aca="true" t="shared" si="29" ref="D234:M234">D237+D241+D245</f>
        <v>42529</v>
      </c>
      <c r="E234" s="11">
        <f t="shared" si="29"/>
        <v>1</v>
      </c>
      <c r="F234" s="11">
        <f t="shared" si="29"/>
        <v>42528</v>
      </c>
      <c r="G234" s="376">
        <f t="shared" si="29"/>
        <v>17300</v>
      </c>
      <c r="H234" s="11">
        <f t="shared" si="29"/>
        <v>0</v>
      </c>
      <c r="I234" s="11">
        <f t="shared" si="29"/>
        <v>0</v>
      </c>
      <c r="J234" s="11">
        <f t="shared" si="29"/>
        <v>0</v>
      </c>
      <c r="K234" s="11">
        <f t="shared" si="29"/>
        <v>0</v>
      </c>
      <c r="L234" s="11">
        <f t="shared" si="29"/>
        <v>17300</v>
      </c>
      <c r="M234" s="11">
        <f t="shared" si="29"/>
        <v>0</v>
      </c>
      <c r="N234" s="71"/>
    </row>
    <row r="235" spans="1:14" s="16" customFormat="1" ht="27" customHeight="1">
      <c r="A235" s="28"/>
      <c r="B235" s="48" t="s">
        <v>5</v>
      </c>
      <c r="C235" s="11">
        <f>C238+C242+C246</f>
        <v>34581</v>
      </c>
      <c r="D235" s="11">
        <f aca="true" t="shared" si="30" ref="D235:M235">D238+D242+D246</f>
        <v>34581</v>
      </c>
      <c r="E235" s="11">
        <f t="shared" si="30"/>
        <v>0</v>
      </c>
      <c r="F235" s="11">
        <f t="shared" si="30"/>
        <v>34581</v>
      </c>
      <c r="G235" s="376">
        <f t="shared" si="30"/>
        <v>16000</v>
      </c>
      <c r="H235" s="11">
        <f t="shared" si="30"/>
        <v>0</v>
      </c>
      <c r="I235" s="11">
        <f t="shared" si="30"/>
        <v>0</v>
      </c>
      <c r="J235" s="11">
        <f t="shared" si="30"/>
        <v>0</v>
      </c>
      <c r="K235" s="11">
        <f t="shared" si="30"/>
        <v>0</v>
      </c>
      <c r="L235" s="11">
        <f t="shared" si="30"/>
        <v>16000</v>
      </c>
      <c r="M235" s="11">
        <f t="shared" si="30"/>
        <v>0</v>
      </c>
      <c r="N235" s="71"/>
    </row>
    <row r="236" spans="1:14" s="16" customFormat="1" ht="13.5" customHeight="1">
      <c r="A236" s="28"/>
      <c r="B236" s="43"/>
      <c r="C236" s="10"/>
      <c r="D236" s="10"/>
      <c r="E236" s="10"/>
      <c r="F236" s="10"/>
      <c r="G236" s="61"/>
      <c r="H236" s="10"/>
      <c r="I236" s="10"/>
      <c r="J236" s="10"/>
      <c r="K236" s="10"/>
      <c r="L236" s="10"/>
      <c r="M236" s="10"/>
      <c r="N236" s="71"/>
    </row>
    <row r="237" spans="1:14" s="16" customFormat="1" ht="55.5">
      <c r="A237" s="328">
        <v>1</v>
      </c>
      <c r="B237" s="232" t="s">
        <v>292</v>
      </c>
      <c r="C237" s="341">
        <v>16890</v>
      </c>
      <c r="D237" s="341">
        <f>C237</f>
        <v>16890</v>
      </c>
      <c r="E237" s="341">
        <v>1</v>
      </c>
      <c r="F237" s="304">
        <f>D237-E237</f>
        <v>16889</v>
      </c>
      <c r="G237" s="377">
        <f>SUM(H237:M237)</f>
        <v>2000</v>
      </c>
      <c r="H237" s="302"/>
      <c r="I237" s="302"/>
      <c r="J237" s="302">
        <v>0</v>
      </c>
      <c r="K237" s="302"/>
      <c r="L237" s="302">
        <v>2000</v>
      </c>
      <c r="M237" s="302">
        <v>0</v>
      </c>
      <c r="N237" s="305" t="s">
        <v>32</v>
      </c>
    </row>
    <row r="238" spans="1:14" s="16" customFormat="1" ht="26.25" customHeight="1">
      <c r="A238" s="328"/>
      <c r="B238" s="196" t="s">
        <v>228</v>
      </c>
      <c r="C238" s="302">
        <v>12710</v>
      </c>
      <c r="D238" s="302">
        <f>C238</f>
        <v>12710</v>
      </c>
      <c r="E238" s="302">
        <v>0</v>
      </c>
      <c r="F238" s="304">
        <f>D238-E238</f>
        <v>12710</v>
      </c>
      <c r="G238" s="377">
        <f>SUM(H238:M238)</f>
        <v>1500</v>
      </c>
      <c r="H238" s="302"/>
      <c r="I238" s="302"/>
      <c r="J238" s="302">
        <v>0</v>
      </c>
      <c r="K238" s="302"/>
      <c r="L238" s="302">
        <v>1500</v>
      </c>
      <c r="M238" s="302">
        <v>0</v>
      </c>
      <c r="N238" s="305"/>
    </row>
    <row r="239" spans="1:14" s="16" customFormat="1" ht="16.5" customHeight="1">
      <c r="A239" s="66"/>
      <c r="B239" s="196"/>
      <c r="C239" s="68"/>
      <c r="D239" s="68"/>
      <c r="E239" s="68"/>
      <c r="F239" s="10"/>
      <c r="G239" s="249"/>
      <c r="H239" s="68"/>
      <c r="I239" s="68"/>
      <c r="J239" s="68"/>
      <c r="K239" s="68"/>
      <c r="L239" s="68"/>
      <c r="M239" s="68"/>
      <c r="N239" s="33"/>
    </row>
    <row r="240" spans="1:14" s="16" customFormat="1" ht="16.5" customHeight="1">
      <c r="A240" s="66"/>
      <c r="B240" s="196"/>
      <c r="C240" s="68"/>
      <c r="D240" s="68"/>
      <c r="E240" s="68"/>
      <c r="F240" s="10"/>
      <c r="G240" s="249"/>
      <c r="H240" s="68"/>
      <c r="I240" s="68"/>
      <c r="J240" s="68"/>
      <c r="K240" s="68"/>
      <c r="L240" s="68"/>
      <c r="M240" s="68"/>
      <c r="N240" s="33"/>
    </row>
    <row r="241" spans="1:14" s="16" customFormat="1" ht="71.25" customHeight="1">
      <c r="A241" s="328">
        <v>2</v>
      </c>
      <c r="B241" s="232" t="s">
        <v>369</v>
      </c>
      <c r="C241" s="341">
        <v>14920</v>
      </c>
      <c r="D241" s="341">
        <f>C241</f>
        <v>14920</v>
      </c>
      <c r="E241" s="341">
        <v>0</v>
      </c>
      <c r="F241" s="304">
        <f>D241-E241</f>
        <v>14920</v>
      </c>
      <c r="G241" s="377">
        <f>SUM(H241:M241)</f>
        <v>11300</v>
      </c>
      <c r="H241" s="302"/>
      <c r="I241" s="302"/>
      <c r="J241" s="302">
        <v>0</v>
      </c>
      <c r="K241" s="302"/>
      <c r="L241" s="302">
        <v>11300</v>
      </c>
      <c r="M241" s="302">
        <v>0</v>
      </c>
      <c r="N241" s="305" t="s">
        <v>32</v>
      </c>
    </row>
    <row r="242" spans="1:14" s="16" customFormat="1" ht="26.25" customHeight="1">
      <c r="A242" s="328"/>
      <c r="B242" s="209" t="s">
        <v>370</v>
      </c>
      <c r="C242" s="302">
        <v>14160</v>
      </c>
      <c r="D242" s="302">
        <f>C242</f>
        <v>14160</v>
      </c>
      <c r="E242" s="302">
        <v>0</v>
      </c>
      <c r="F242" s="304">
        <f>D242-E242</f>
        <v>14160</v>
      </c>
      <c r="G242" s="377">
        <f>SUM(H242:M242)</f>
        <v>11000</v>
      </c>
      <c r="H242" s="302"/>
      <c r="I242" s="302"/>
      <c r="J242" s="302">
        <v>0</v>
      </c>
      <c r="K242" s="302"/>
      <c r="L242" s="302">
        <v>11000</v>
      </c>
      <c r="M242" s="302">
        <v>0</v>
      </c>
      <c r="N242" s="305"/>
    </row>
    <row r="243" spans="1:14" s="16" customFormat="1" ht="20.25" customHeight="1">
      <c r="A243" s="66"/>
      <c r="B243" s="209"/>
      <c r="C243" s="68"/>
      <c r="D243" s="68"/>
      <c r="E243" s="68"/>
      <c r="F243" s="10"/>
      <c r="G243" s="249"/>
      <c r="H243" s="68"/>
      <c r="I243" s="68"/>
      <c r="J243" s="68"/>
      <c r="K243" s="68"/>
      <c r="L243" s="68"/>
      <c r="M243" s="68"/>
      <c r="N243" s="33"/>
    </row>
    <row r="244" spans="1:14" s="16" customFormat="1" ht="20.25" customHeight="1">
      <c r="A244" s="66"/>
      <c r="B244" s="209"/>
      <c r="C244" s="68"/>
      <c r="D244" s="68"/>
      <c r="E244" s="68"/>
      <c r="F244" s="10"/>
      <c r="G244" s="249"/>
      <c r="H244" s="68"/>
      <c r="I244" s="68"/>
      <c r="J244" s="68"/>
      <c r="K244" s="68"/>
      <c r="L244" s="68"/>
      <c r="M244" s="68"/>
      <c r="N244" s="33"/>
    </row>
    <row r="245" spans="1:14" s="16" customFormat="1" ht="37.5" customHeight="1">
      <c r="A245" s="328">
        <v>3</v>
      </c>
      <c r="B245" s="232" t="s">
        <v>499</v>
      </c>
      <c r="C245" s="341">
        <v>10719</v>
      </c>
      <c r="D245" s="341">
        <f>C245</f>
        <v>10719</v>
      </c>
      <c r="E245" s="341">
        <v>0</v>
      </c>
      <c r="F245" s="304">
        <f>D245-E245</f>
        <v>10719</v>
      </c>
      <c r="G245" s="377">
        <f>SUM(H245:M245)</f>
        <v>4000</v>
      </c>
      <c r="H245" s="302"/>
      <c r="I245" s="302"/>
      <c r="J245" s="302">
        <v>0</v>
      </c>
      <c r="K245" s="302"/>
      <c r="L245" s="302">
        <v>4000</v>
      </c>
      <c r="M245" s="302">
        <v>0</v>
      </c>
      <c r="N245" s="305" t="s">
        <v>32</v>
      </c>
    </row>
    <row r="246" spans="1:14" s="16" customFormat="1" ht="26.25" customHeight="1">
      <c r="A246" s="328"/>
      <c r="B246" s="209" t="s">
        <v>500</v>
      </c>
      <c r="C246" s="302">
        <v>7711</v>
      </c>
      <c r="D246" s="302">
        <f>C246</f>
        <v>7711</v>
      </c>
      <c r="E246" s="302">
        <v>0</v>
      </c>
      <c r="F246" s="304">
        <f>D246-E246</f>
        <v>7711</v>
      </c>
      <c r="G246" s="377">
        <f>SUM(H246:M246)</f>
        <v>3500</v>
      </c>
      <c r="H246" s="302"/>
      <c r="I246" s="302"/>
      <c r="J246" s="302">
        <v>0</v>
      </c>
      <c r="K246" s="302"/>
      <c r="L246" s="302">
        <v>3500</v>
      </c>
      <c r="M246" s="302">
        <v>0</v>
      </c>
      <c r="N246" s="305"/>
    </row>
    <row r="247" spans="1:14" s="16" customFormat="1" ht="26.25" customHeight="1">
      <c r="A247" s="66"/>
      <c r="B247" s="209"/>
      <c r="C247" s="68"/>
      <c r="D247" s="68"/>
      <c r="E247" s="68"/>
      <c r="F247" s="10"/>
      <c r="G247" s="249"/>
      <c r="H247" s="68"/>
      <c r="I247" s="68"/>
      <c r="J247" s="68"/>
      <c r="K247" s="68"/>
      <c r="L247" s="68"/>
      <c r="M247" s="68"/>
      <c r="N247" s="33"/>
    </row>
    <row r="248" spans="1:14" s="16" customFormat="1" ht="26.25" customHeight="1">
      <c r="A248" s="66"/>
      <c r="B248" s="209"/>
      <c r="C248" s="68"/>
      <c r="D248" s="68"/>
      <c r="E248" s="68"/>
      <c r="F248" s="10"/>
      <c r="G248" s="249"/>
      <c r="H248" s="68"/>
      <c r="I248" s="68"/>
      <c r="J248" s="68"/>
      <c r="K248" s="68"/>
      <c r="L248" s="68"/>
      <c r="M248" s="68"/>
      <c r="N248" s="33"/>
    </row>
    <row r="249" spans="1:14" s="16" customFormat="1" ht="19.5" customHeight="1">
      <c r="A249" s="28"/>
      <c r="B249" s="43"/>
      <c r="C249" s="10"/>
      <c r="D249" s="10"/>
      <c r="E249" s="10"/>
      <c r="F249" s="10"/>
      <c r="G249" s="61"/>
      <c r="H249" s="10"/>
      <c r="I249" s="10"/>
      <c r="J249" s="10"/>
      <c r="K249" s="10"/>
      <c r="L249" s="10"/>
      <c r="M249" s="10"/>
      <c r="N249" s="33"/>
    </row>
    <row r="250" spans="1:14" s="16" customFormat="1" ht="16.5" customHeight="1">
      <c r="A250" s="28" t="s">
        <v>6</v>
      </c>
      <c r="B250" s="47" t="s">
        <v>91</v>
      </c>
      <c r="C250" s="11">
        <f>C253+C254+C255</f>
        <v>13928</v>
      </c>
      <c r="D250" s="11">
        <f aca="true" t="shared" si="31" ref="D250:M250">D253+D254+D255</f>
        <v>13928</v>
      </c>
      <c r="E250" s="11">
        <f t="shared" si="31"/>
        <v>585</v>
      </c>
      <c r="F250" s="11">
        <f t="shared" si="31"/>
        <v>13343</v>
      </c>
      <c r="G250" s="376">
        <f t="shared" si="31"/>
        <v>13341</v>
      </c>
      <c r="H250" s="11">
        <f t="shared" si="31"/>
        <v>0</v>
      </c>
      <c r="I250" s="11">
        <f t="shared" si="31"/>
        <v>0</v>
      </c>
      <c r="J250" s="11">
        <f t="shared" si="31"/>
        <v>2</v>
      </c>
      <c r="K250" s="11">
        <f t="shared" si="31"/>
        <v>1807</v>
      </c>
      <c r="L250" s="11">
        <f t="shared" si="31"/>
        <v>11532</v>
      </c>
      <c r="M250" s="11">
        <f t="shared" si="31"/>
        <v>0</v>
      </c>
      <c r="N250" s="33"/>
    </row>
    <row r="251" spans="1:14" s="16" customFormat="1" ht="16.5" customHeight="1">
      <c r="A251" s="28"/>
      <c r="B251" s="48" t="s">
        <v>12</v>
      </c>
      <c r="C251" s="11"/>
      <c r="D251" s="11"/>
      <c r="E251" s="11"/>
      <c r="F251" s="11"/>
      <c r="G251" s="376"/>
      <c r="H251" s="11"/>
      <c r="I251" s="11"/>
      <c r="J251" s="11"/>
      <c r="K251" s="11"/>
      <c r="L251" s="11"/>
      <c r="M251" s="11"/>
      <c r="N251" s="33"/>
    </row>
    <row r="252" spans="1:14" s="16" customFormat="1" ht="17.25" customHeight="1">
      <c r="A252" s="45"/>
      <c r="B252" s="26" t="s">
        <v>9</v>
      </c>
      <c r="C252" s="63"/>
      <c r="D252" s="63"/>
      <c r="E252" s="63"/>
      <c r="F252" s="63"/>
      <c r="G252" s="76"/>
      <c r="H252" s="63"/>
      <c r="I252" s="63"/>
      <c r="J252" s="10"/>
      <c r="K252" s="10"/>
      <c r="L252" s="63"/>
      <c r="M252" s="63"/>
      <c r="N252" s="33"/>
    </row>
    <row r="253" spans="1:14" s="16" customFormat="1" ht="16.5" customHeight="1">
      <c r="A253" s="58"/>
      <c r="B253" s="34" t="s">
        <v>0</v>
      </c>
      <c r="C253" s="63">
        <f>'Studii si proiecte 2022'!D146</f>
        <v>8884</v>
      </c>
      <c r="D253" s="63">
        <f>'Studii si proiecte 2022'!E146</f>
        <v>8884</v>
      </c>
      <c r="E253" s="63">
        <f>'Studii si proiecte 2022'!F146</f>
        <v>585</v>
      </c>
      <c r="F253" s="63">
        <f>'Studii si proiecte 2022'!G146</f>
        <v>8299</v>
      </c>
      <c r="G253" s="375">
        <f>'Studii si proiecte 2022'!H146</f>
        <v>8297</v>
      </c>
      <c r="H253" s="63">
        <f>'Studii si proiecte 2022'!I146</f>
        <v>0</v>
      </c>
      <c r="I253" s="63">
        <f>'Studii si proiecte 2022'!J146</f>
        <v>0</v>
      </c>
      <c r="J253" s="63">
        <f>'Studii si proiecte 2022'!K146</f>
        <v>2</v>
      </c>
      <c r="K253" s="63">
        <f>'Studii si proiecte 2022'!L146</f>
        <v>0</v>
      </c>
      <c r="L253" s="63">
        <f>'Studii si proiecte 2022'!M146</f>
        <v>8295</v>
      </c>
      <c r="M253" s="63">
        <f>'Studii si proiecte 2022'!N146</f>
        <v>0</v>
      </c>
      <c r="N253" s="33"/>
    </row>
    <row r="254" spans="1:14" s="16" customFormat="1" ht="16.5" customHeight="1">
      <c r="A254" s="58"/>
      <c r="B254" s="34" t="s">
        <v>24</v>
      </c>
      <c r="C254" s="63">
        <f>'Dotari 2022'!D50</f>
        <v>1807</v>
      </c>
      <c r="D254" s="63">
        <f>'Dotari 2022'!E50</f>
        <v>1807</v>
      </c>
      <c r="E254" s="63">
        <f>'Dotari 2022'!F50</f>
        <v>0</v>
      </c>
      <c r="F254" s="63">
        <f>'Dotari 2022'!G50</f>
        <v>1807</v>
      </c>
      <c r="G254" s="375">
        <f>'Dotari 2022'!H50</f>
        <v>1807</v>
      </c>
      <c r="H254" s="63">
        <f>'Dotari 2022'!I50</f>
        <v>0</v>
      </c>
      <c r="I254" s="63">
        <f>'Dotari 2022'!J50</f>
        <v>0</v>
      </c>
      <c r="J254" s="63">
        <f>'Dotari 2022'!K50</f>
        <v>0</v>
      </c>
      <c r="K254" s="63">
        <f>'Dotari 2022'!L50</f>
        <v>1807</v>
      </c>
      <c r="L254" s="63">
        <f>'Dotari 2022'!M50</f>
        <v>0</v>
      </c>
      <c r="M254" s="63">
        <f>'Dotari 2022'!N50</f>
        <v>0</v>
      </c>
      <c r="N254" s="33"/>
    </row>
    <row r="255" spans="1:14" s="16" customFormat="1" ht="16.5" customHeight="1">
      <c r="A255" s="58"/>
      <c r="B255" s="34" t="s">
        <v>84</v>
      </c>
      <c r="C255" s="63">
        <f>'Alte chelt 2022'!D44</f>
        <v>3237</v>
      </c>
      <c r="D255" s="63">
        <f>'Alte chelt 2022'!E44</f>
        <v>3237</v>
      </c>
      <c r="E255" s="63">
        <f>'Alte chelt 2022'!F44</f>
        <v>0</v>
      </c>
      <c r="F255" s="63">
        <f>'Alte chelt 2022'!G44</f>
        <v>3237</v>
      </c>
      <c r="G255" s="375">
        <f>'Alte chelt 2022'!H44</f>
        <v>3237</v>
      </c>
      <c r="H255" s="63">
        <f>'Alte chelt 2022'!I44</f>
        <v>0</v>
      </c>
      <c r="I255" s="63">
        <f>'Alte chelt 2022'!J44</f>
        <v>0</v>
      </c>
      <c r="J255" s="63">
        <f>'Alte chelt 2022'!K44</f>
        <v>0</v>
      </c>
      <c r="K255" s="63">
        <f>'Alte chelt 2022'!L44</f>
        <v>0</v>
      </c>
      <c r="L255" s="63">
        <f>'Alte chelt 2022'!M44</f>
        <v>3237</v>
      </c>
      <c r="M255" s="63">
        <f>'Alte chelt 2022'!N44</f>
        <v>0</v>
      </c>
      <c r="N255" s="33"/>
    </row>
    <row r="256" spans="1:14" s="16" customFormat="1" ht="16.5" customHeight="1">
      <c r="A256" s="58"/>
      <c r="B256" s="34"/>
      <c r="C256" s="63"/>
      <c r="D256" s="63"/>
      <c r="E256" s="63"/>
      <c r="F256" s="63"/>
      <c r="G256" s="76"/>
      <c r="H256" s="63"/>
      <c r="I256" s="63"/>
      <c r="J256" s="63"/>
      <c r="K256" s="63"/>
      <c r="L256" s="63"/>
      <c r="M256" s="63"/>
      <c r="N256" s="33"/>
    </row>
    <row r="257" spans="1:14" s="16" customFormat="1" ht="16.5" customHeight="1">
      <c r="A257" s="58"/>
      <c r="B257" s="34"/>
      <c r="C257" s="63"/>
      <c r="D257" s="63"/>
      <c r="E257" s="63"/>
      <c r="F257" s="63"/>
      <c r="G257" s="76"/>
      <c r="H257" s="63"/>
      <c r="I257" s="63"/>
      <c r="J257" s="63"/>
      <c r="K257" s="63"/>
      <c r="L257" s="63"/>
      <c r="M257" s="63"/>
      <c r="N257" s="33"/>
    </row>
    <row r="258" spans="1:14" s="16" customFormat="1" ht="16.5" customHeight="1">
      <c r="A258" s="58"/>
      <c r="B258" s="34"/>
      <c r="C258" s="63"/>
      <c r="D258" s="63"/>
      <c r="E258" s="63"/>
      <c r="F258" s="63"/>
      <c r="G258" s="76"/>
      <c r="H258" s="63"/>
      <c r="I258" s="63"/>
      <c r="J258" s="63"/>
      <c r="K258" s="63"/>
      <c r="L258" s="63"/>
      <c r="M258" s="63"/>
      <c r="N258" s="33"/>
    </row>
    <row r="259" spans="1:14" s="20" customFormat="1" ht="30" customHeight="1">
      <c r="A259" s="21"/>
      <c r="B259" s="178" t="s">
        <v>66</v>
      </c>
      <c r="C259" s="23" t="s">
        <v>67</v>
      </c>
      <c r="D259" s="24"/>
      <c r="E259" s="24"/>
      <c r="F259" s="24"/>
      <c r="G259" s="279">
        <f>G260-548</f>
        <v>-360</v>
      </c>
      <c r="H259" s="279"/>
      <c r="I259" s="279"/>
      <c r="J259" s="279">
        <f>J260-105</f>
        <v>-105</v>
      </c>
      <c r="K259" s="279"/>
      <c r="L259" s="279">
        <f>L260-443</f>
        <v>-255</v>
      </c>
      <c r="M259" s="10" t="s">
        <v>16</v>
      </c>
      <c r="N259" s="35"/>
    </row>
    <row r="260" spans="1:14" s="56" customFormat="1" ht="23.25" customHeight="1">
      <c r="A260" s="25"/>
      <c r="B260" s="26" t="s">
        <v>9</v>
      </c>
      <c r="C260" s="27">
        <f aca="true" t="shared" si="32" ref="C260:M260">C263+C266+C271</f>
        <v>188</v>
      </c>
      <c r="D260" s="27">
        <f t="shared" si="32"/>
        <v>188</v>
      </c>
      <c r="E260" s="27">
        <f t="shared" si="32"/>
        <v>0</v>
      </c>
      <c r="F260" s="27">
        <f t="shared" si="32"/>
        <v>188</v>
      </c>
      <c r="G260" s="376">
        <f t="shared" si="32"/>
        <v>188</v>
      </c>
      <c r="H260" s="27">
        <f t="shared" si="32"/>
        <v>0</v>
      </c>
      <c r="I260" s="27">
        <f t="shared" si="32"/>
        <v>0</v>
      </c>
      <c r="J260" s="27">
        <f t="shared" si="32"/>
        <v>0</v>
      </c>
      <c r="K260" s="27">
        <f t="shared" si="32"/>
        <v>0</v>
      </c>
      <c r="L260" s="27">
        <f t="shared" si="32"/>
        <v>188</v>
      </c>
      <c r="M260" s="27">
        <f t="shared" si="32"/>
        <v>0</v>
      </c>
      <c r="N260" s="33"/>
    </row>
    <row r="261" spans="1:14" s="56" customFormat="1" ht="23.25" customHeight="1">
      <c r="A261" s="28"/>
      <c r="B261" s="29"/>
      <c r="C261" s="27">
        <f aca="true" t="shared" si="33" ref="C261:M261">C264+C267+C272</f>
        <v>0</v>
      </c>
      <c r="D261" s="27">
        <f t="shared" si="33"/>
        <v>0</v>
      </c>
      <c r="E261" s="27">
        <f t="shared" si="33"/>
        <v>0</v>
      </c>
      <c r="F261" s="27">
        <f t="shared" si="33"/>
        <v>0</v>
      </c>
      <c r="G261" s="376">
        <f t="shared" si="33"/>
        <v>0</v>
      </c>
      <c r="H261" s="27">
        <f t="shared" si="33"/>
        <v>0</v>
      </c>
      <c r="I261" s="27">
        <f t="shared" si="33"/>
        <v>0</v>
      </c>
      <c r="J261" s="27">
        <f t="shared" si="33"/>
        <v>0</v>
      </c>
      <c r="K261" s="27">
        <f t="shared" si="33"/>
        <v>0</v>
      </c>
      <c r="L261" s="27">
        <f t="shared" si="33"/>
        <v>0</v>
      </c>
      <c r="M261" s="27">
        <f t="shared" si="33"/>
        <v>0</v>
      </c>
      <c r="N261" s="33"/>
    </row>
    <row r="262" spans="1:14" s="56" customFormat="1" ht="20.25" customHeight="1">
      <c r="A262" s="45"/>
      <c r="B262" s="161"/>
      <c r="C262" s="63"/>
      <c r="D262" s="63"/>
      <c r="E262" s="63"/>
      <c r="F262" s="63"/>
      <c r="G262" s="61"/>
      <c r="H262" s="76"/>
      <c r="I262" s="76"/>
      <c r="J262" s="76"/>
      <c r="K262" s="76"/>
      <c r="L262" s="76"/>
      <c r="M262" s="76"/>
      <c r="N262" s="33"/>
    </row>
    <row r="263" spans="1:14" s="20" customFormat="1" ht="23.25" customHeight="1">
      <c r="A263" s="28" t="s">
        <v>1</v>
      </c>
      <c r="B263" s="47" t="s">
        <v>2</v>
      </c>
      <c r="C263" s="11">
        <v>0</v>
      </c>
      <c r="D263" s="11">
        <v>0</v>
      </c>
      <c r="E263" s="11">
        <v>0</v>
      </c>
      <c r="F263" s="11">
        <v>0</v>
      </c>
      <c r="G263" s="376">
        <v>0</v>
      </c>
      <c r="H263" s="11">
        <v>0</v>
      </c>
      <c r="I263" s="11">
        <v>0</v>
      </c>
      <c r="J263" s="11">
        <v>0</v>
      </c>
      <c r="K263" s="11">
        <v>0</v>
      </c>
      <c r="L263" s="11">
        <v>0</v>
      </c>
      <c r="M263" s="11">
        <v>0</v>
      </c>
      <c r="N263" s="35"/>
    </row>
    <row r="264" spans="1:14" s="20" customFormat="1" ht="23.25" customHeight="1">
      <c r="A264" s="28"/>
      <c r="B264" s="48" t="s">
        <v>3</v>
      </c>
      <c r="C264" s="11">
        <v>0</v>
      </c>
      <c r="D264" s="11">
        <v>0</v>
      </c>
      <c r="E264" s="11">
        <v>0</v>
      </c>
      <c r="F264" s="11">
        <v>0</v>
      </c>
      <c r="G264" s="376">
        <v>0</v>
      </c>
      <c r="H264" s="11">
        <v>0</v>
      </c>
      <c r="I264" s="11">
        <v>0</v>
      </c>
      <c r="J264" s="11">
        <v>0</v>
      </c>
      <c r="K264" s="11">
        <v>0</v>
      </c>
      <c r="L264" s="11">
        <v>0</v>
      </c>
      <c r="M264" s="11">
        <v>0</v>
      </c>
      <c r="N264" s="35"/>
    </row>
    <row r="265" spans="1:14" s="20" customFormat="1" ht="15">
      <c r="A265" s="28"/>
      <c r="B265" s="43"/>
      <c r="C265" s="10"/>
      <c r="D265" s="10"/>
      <c r="E265" s="10"/>
      <c r="F265" s="10"/>
      <c r="G265" s="61"/>
      <c r="H265" s="10"/>
      <c r="I265" s="10"/>
      <c r="J265" s="10"/>
      <c r="K265" s="10"/>
      <c r="L265" s="10"/>
      <c r="M265" s="10"/>
      <c r="N265" s="35"/>
    </row>
    <row r="266" spans="1:14" s="56" customFormat="1" ht="22.5" customHeight="1">
      <c r="A266" s="28" t="s">
        <v>4</v>
      </c>
      <c r="B266" s="47" t="s">
        <v>10</v>
      </c>
      <c r="C266" s="11">
        <v>0</v>
      </c>
      <c r="D266" s="11">
        <v>0</v>
      </c>
      <c r="E266" s="11">
        <v>0</v>
      </c>
      <c r="F266" s="11">
        <v>0</v>
      </c>
      <c r="G266" s="376">
        <v>0</v>
      </c>
      <c r="H266" s="11">
        <v>0</v>
      </c>
      <c r="I266" s="11">
        <v>0</v>
      </c>
      <c r="J266" s="11">
        <v>0</v>
      </c>
      <c r="K266" s="11">
        <v>0</v>
      </c>
      <c r="L266" s="11">
        <v>0</v>
      </c>
      <c r="M266" s="11">
        <v>0</v>
      </c>
      <c r="N266" s="33"/>
    </row>
    <row r="267" spans="1:14" s="56" customFormat="1" ht="22.5" customHeight="1">
      <c r="A267" s="28"/>
      <c r="B267" s="48" t="s">
        <v>5</v>
      </c>
      <c r="C267" s="11">
        <v>0</v>
      </c>
      <c r="D267" s="11">
        <v>0</v>
      </c>
      <c r="E267" s="11">
        <v>0</v>
      </c>
      <c r="F267" s="11">
        <v>0</v>
      </c>
      <c r="G267" s="376">
        <v>0</v>
      </c>
      <c r="H267" s="11">
        <v>0</v>
      </c>
      <c r="I267" s="11">
        <v>0</v>
      </c>
      <c r="J267" s="11">
        <v>0</v>
      </c>
      <c r="K267" s="11">
        <v>0</v>
      </c>
      <c r="L267" s="11">
        <v>0</v>
      </c>
      <c r="M267" s="11">
        <v>0</v>
      </c>
      <c r="N267" s="33"/>
    </row>
    <row r="268" spans="1:14" s="56" customFormat="1" ht="36.75" customHeight="1">
      <c r="A268" s="28"/>
      <c r="B268" s="26" t="s">
        <v>9</v>
      </c>
      <c r="C268" s="10"/>
      <c r="D268" s="10"/>
      <c r="E268" s="10"/>
      <c r="F268" s="10"/>
      <c r="G268" s="61"/>
      <c r="H268" s="10"/>
      <c r="I268" s="10"/>
      <c r="J268" s="10"/>
      <c r="K268" s="10"/>
      <c r="L268" s="10"/>
      <c r="M268" s="10"/>
      <c r="N268" s="33"/>
    </row>
    <row r="269" s="16" customFormat="1" ht="3" customHeight="1">
      <c r="G269" s="17"/>
    </row>
    <row r="270" spans="1:14" s="16" customFormat="1" ht="5.25" customHeight="1">
      <c r="A270" s="28"/>
      <c r="B270" s="43"/>
      <c r="C270" s="10"/>
      <c r="D270" s="10"/>
      <c r="E270" s="10"/>
      <c r="F270" s="10"/>
      <c r="G270" s="61"/>
      <c r="H270" s="10"/>
      <c r="I270" s="10"/>
      <c r="J270" s="10"/>
      <c r="K270" s="10"/>
      <c r="L270" s="10"/>
      <c r="M270" s="10"/>
      <c r="N270" s="71"/>
    </row>
    <row r="271" spans="1:14" s="16" customFormat="1" ht="22.5" customHeight="1">
      <c r="A271" s="28" t="s">
        <v>6</v>
      </c>
      <c r="B271" s="47" t="s">
        <v>91</v>
      </c>
      <c r="C271" s="11">
        <f>C274+C275+C276</f>
        <v>188</v>
      </c>
      <c r="D271" s="11">
        <f aca="true" t="shared" si="34" ref="D271:M271">D274+D275+D276</f>
        <v>188</v>
      </c>
      <c r="E271" s="11">
        <f t="shared" si="34"/>
        <v>0</v>
      </c>
      <c r="F271" s="11">
        <f t="shared" si="34"/>
        <v>188</v>
      </c>
      <c r="G271" s="376">
        <f t="shared" si="34"/>
        <v>188</v>
      </c>
      <c r="H271" s="11">
        <f t="shared" si="34"/>
        <v>0</v>
      </c>
      <c r="I271" s="11">
        <f t="shared" si="34"/>
        <v>0</v>
      </c>
      <c r="J271" s="11">
        <f t="shared" si="34"/>
        <v>0</v>
      </c>
      <c r="K271" s="11">
        <f t="shared" si="34"/>
        <v>0</v>
      </c>
      <c r="L271" s="11">
        <f t="shared" si="34"/>
        <v>188</v>
      </c>
      <c r="M271" s="11">
        <f t="shared" si="34"/>
        <v>0</v>
      </c>
      <c r="N271" s="71"/>
    </row>
    <row r="272" spans="1:14" s="16" customFormat="1" ht="22.5" customHeight="1">
      <c r="A272" s="28"/>
      <c r="B272" s="48" t="s">
        <v>12</v>
      </c>
      <c r="C272" s="10"/>
      <c r="D272" s="10"/>
      <c r="E272" s="10"/>
      <c r="F272" s="10"/>
      <c r="G272" s="61"/>
      <c r="H272" s="10"/>
      <c r="I272" s="10"/>
      <c r="J272" s="10"/>
      <c r="K272" s="10"/>
      <c r="L272" s="10"/>
      <c r="M272" s="10"/>
      <c r="N272" s="71"/>
    </row>
    <row r="273" spans="1:14" s="16" customFormat="1" ht="32.25" customHeight="1">
      <c r="A273" s="45"/>
      <c r="B273" s="26" t="s">
        <v>9</v>
      </c>
      <c r="C273" s="63"/>
      <c r="D273" s="63"/>
      <c r="E273" s="63"/>
      <c r="F273" s="63"/>
      <c r="G273" s="76"/>
      <c r="H273" s="63"/>
      <c r="I273" s="63"/>
      <c r="J273" s="10"/>
      <c r="K273" s="10"/>
      <c r="L273" s="63"/>
      <c r="M273" s="63"/>
      <c r="N273" s="71"/>
    </row>
    <row r="274" spans="1:14" s="16" customFormat="1" ht="20.25" customHeight="1">
      <c r="A274" s="58"/>
      <c r="B274" s="34" t="s">
        <v>0</v>
      </c>
      <c r="C274" s="63">
        <f>'Studii si proiecte 2022'!D152</f>
        <v>0</v>
      </c>
      <c r="D274" s="63">
        <f>'Studii si proiecte 2022'!E152</f>
        <v>0</v>
      </c>
      <c r="E274" s="63">
        <f>'Studii si proiecte 2022'!F152</f>
        <v>0</v>
      </c>
      <c r="F274" s="63">
        <f>'Studii si proiecte 2022'!G152</f>
        <v>0</v>
      </c>
      <c r="G274" s="375">
        <f>'Studii si proiecte 2022'!H152</f>
        <v>0</v>
      </c>
      <c r="H274" s="63">
        <f>'Studii si proiecte 2022'!I152</f>
        <v>0</v>
      </c>
      <c r="I274" s="63">
        <f>'Studii si proiecte 2022'!J152</f>
        <v>0</v>
      </c>
      <c r="J274" s="63">
        <f>'Studii si proiecte 2022'!K152</f>
        <v>0</v>
      </c>
      <c r="K274" s="63">
        <f>'Studii si proiecte 2022'!L152</f>
        <v>0</v>
      </c>
      <c r="L274" s="63">
        <f>'Studii si proiecte 2022'!M152</f>
        <v>0</v>
      </c>
      <c r="M274" s="63">
        <f>'Studii si proiecte 2022'!N152</f>
        <v>0</v>
      </c>
      <c r="N274" s="71"/>
    </row>
    <row r="275" spans="1:14" s="16" customFormat="1" ht="20.25" customHeight="1">
      <c r="A275" s="59"/>
      <c r="B275" s="169" t="s">
        <v>82</v>
      </c>
      <c r="C275" s="60">
        <f>'Dotari 2022'!D59</f>
        <v>188</v>
      </c>
      <c r="D275" s="60">
        <f>'Dotari 2022'!E59</f>
        <v>188</v>
      </c>
      <c r="E275" s="60">
        <f>'Dotari 2022'!F59</f>
        <v>0</v>
      </c>
      <c r="F275" s="60">
        <f>'Dotari 2022'!G59</f>
        <v>188</v>
      </c>
      <c r="G275" s="384">
        <f>'Dotari 2022'!H59</f>
        <v>188</v>
      </c>
      <c r="H275" s="60">
        <f>'Dotari 2022'!I59</f>
        <v>0</v>
      </c>
      <c r="I275" s="60">
        <f>'Dotari 2022'!J59</f>
        <v>0</v>
      </c>
      <c r="J275" s="60">
        <f>'Dotari 2022'!K59</f>
        <v>0</v>
      </c>
      <c r="K275" s="60">
        <f>'Dotari 2022'!L59</f>
        <v>0</v>
      </c>
      <c r="L275" s="60">
        <f>'Dotari 2022'!M59</f>
        <v>188</v>
      </c>
      <c r="M275" s="60">
        <f>'Dotari 2022'!N59</f>
        <v>0</v>
      </c>
      <c r="N275" s="71"/>
    </row>
    <row r="276" spans="1:14" s="16" customFormat="1" ht="20.25" customHeight="1">
      <c r="A276" s="59"/>
      <c r="B276" s="169" t="s">
        <v>84</v>
      </c>
      <c r="C276" s="60">
        <f>'Alte chelt 2022'!D52</f>
        <v>0</v>
      </c>
      <c r="D276" s="60">
        <f>'Alte chelt 2022'!E52</f>
        <v>0</v>
      </c>
      <c r="E276" s="60">
        <f>'Alte chelt 2022'!F52</f>
        <v>0</v>
      </c>
      <c r="F276" s="60">
        <f>'Alte chelt 2022'!G52</f>
        <v>0</v>
      </c>
      <c r="G276" s="384">
        <f>'Alte chelt 2022'!H52</f>
        <v>0</v>
      </c>
      <c r="H276" s="60">
        <f>'Alte chelt 2022'!I52</f>
        <v>0</v>
      </c>
      <c r="I276" s="60">
        <f>'Alte chelt 2022'!J52</f>
        <v>0</v>
      </c>
      <c r="J276" s="60">
        <f>'Alte chelt 2022'!K52</f>
        <v>0</v>
      </c>
      <c r="K276" s="60">
        <f>'Alte chelt 2022'!L52</f>
        <v>0</v>
      </c>
      <c r="L276" s="60">
        <f>'Alte chelt 2022'!M52</f>
        <v>0</v>
      </c>
      <c r="M276" s="60">
        <f>'Alte chelt 2022'!N52</f>
        <v>0</v>
      </c>
      <c r="N276" s="71"/>
    </row>
    <row r="277" spans="1:14" s="16" customFormat="1" ht="24" customHeight="1">
      <c r="A277" s="59"/>
      <c r="B277" s="169"/>
      <c r="C277" s="60"/>
      <c r="D277" s="60"/>
      <c r="E277" s="60"/>
      <c r="F277" s="60"/>
      <c r="G277" s="361"/>
      <c r="H277" s="60"/>
      <c r="I277" s="60"/>
      <c r="J277" s="60"/>
      <c r="K277" s="60"/>
      <c r="L277" s="60"/>
      <c r="M277" s="60"/>
      <c r="N277" s="71"/>
    </row>
    <row r="278" spans="1:14" s="16" customFormat="1" ht="33" customHeight="1">
      <c r="A278" s="45"/>
      <c r="B278" s="178" t="s">
        <v>25</v>
      </c>
      <c r="C278" s="76" t="s">
        <v>26</v>
      </c>
      <c r="D278" s="63"/>
      <c r="E278" s="63"/>
      <c r="F278" s="63"/>
      <c r="G278" s="76"/>
      <c r="H278" s="63"/>
      <c r="I278" s="63"/>
      <c r="J278" s="10"/>
      <c r="K278" s="10"/>
      <c r="L278" s="10"/>
      <c r="M278" s="10" t="s">
        <v>16</v>
      </c>
      <c r="N278" s="71"/>
    </row>
    <row r="279" spans="1:14" s="16" customFormat="1" ht="32.25" customHeight="1">
      <c r="A279" s="25"/>
      <c r="B279" s="26" t="s">
        <v>9</v>
      </c>
      <c r="C279" s="27">
        <f aca="true" t="shared" si="35" ref="C279:M279">C282+C298+C339</f>
        <v>258744</v>
      </c>
      <c r="D279" s="27">
        <f t="shared" si="35"/>
        <v>264215</v>
      </c>
      <c r="E279" s="27">
        <f t="shared" si="35"/>
        <v>116166</v>
      </c>
      <c r="F279" s="27">
        <f t="shared" si="35"/>
        <v>148049</v>
      </c>
      <c r="G279" s="376">
        <f t="shared" si="35"/>
        <v>78819</v>
      </c>
      <c r="H279" s="27">
        <f t="shared" si="35"/>
        <v>7192</v>
      </c>
      <c r="I279" s="27">
        <f t="shared" si="35"/>
        <v>0</v>
      </c>
      <c r="J279" s="27">
        <f t="shared" si="35"/>
        <v>0</v>
      </c>
      <c r="K279" s="27">
        <f t="shared" si="35"/>
        <v>25039</v>
      </c>
      <c r="L279" s="27">
        <f t="shared" si="35"/>
        <v>46588</v>
      </c>
      <c r="M279" s="27">
        <f t="shared" si="35"/>
        <v>0</v>
      </c>
      <c r="N279" s="71"/>
    </row>
    <row r="280" spans="1:14" s="16" customFormat="1" ht="32.25" customHeight="1">
      <c r="A280" s="77"/>
      <c r="B280" s="26"/>
      <c r="C280" s="27">
        <f aca="true" t="shared" si="36" ref="C280:M280">C283+C299+C340</f>
        <v>89937</v>
      </c>
      <c r="D280" s="27">
        <f t="shared" si="36"/>
        <v>92883</v>
      </c>
      <c r="E280" s="27">
        <f t="shared" si="36"/>
        <v>9544</v>
      </c>
      <c r="F280" s="27">
        <f t="shared" si="36"/>
        <v>83339</v>
      </c>
      <c r="G280" s="376">
        <f t="shared" si="36"/>
        <v>26062</v>
      </c>
      <c r="H280" s="27">
        <f t="shared" si="36"/>
        <v>7192</v>
      </c>
      <c r="I280" s="27">
        <f t="shared" si="36"/>
        <v>0</v>
      </c>
      <c r="J280" s="27">
        <f t="shared" si="36"/>
        <v>0</v>
      </c>
      <c r="K280" s="27">
        <f t="shared" si="36"/>
        <v>0</v>
      </c>
      <c r="L280" s="27">
        <f t="shared" si="36"/>
        <v>18870</v>
      </c>
      <c r="M280" s="27">
        <f t="shared" si="36"/>
        <v>0</v>
      </c>
      <c r="N280" s="71"/>
    </row>
    <row r="281" spans="1:14" s="16" customFormat="1" ht="24.75" customHeight="1">
      <c r="A281" s="77"/>
      <c r="B281" s="26"/>
      <c r="C281" s="10"/>
      <c r="D281" s="10"/>
      <c r="E281" s="10"/>
      <c r="F281" s="10"/>
      <c r="G281" s="279">
        <f>G279-31734</f>
        <v>47085</v>
      </c>
      <c r="H281" s="279"/>
      <c r="I281" s="279"/>
      <c r="J281" s="279"/>
      <c r="K281" s="279">
        <f>K279-1458</f>
        <v>23581</v>
      </c>
      <c r="L281" s="279">
        <f>L279-30276</f>
        <v>16312</v>
      </c>
      <c r="M281" s="261"/>
      <c r="N281" s="71"/>
    </row>
    <row r="282" spans="1:14" s="16" customFormat="1" ht="29.25" customHeight="1">
      <c r="A282" s="28" t="s">
        <v>1</v>
      </c>
      <c r="B282" s="47" t="s">
        <v>10</v>
      </c>
      <c r="C282" s="11">
        <f>C286+C290+C294</f>
        <v>22504</v>
      </c>
      <c r="D282" s="11">
        <f aca="true" t="shared" si="37" ref="D282:M282">D286+D290+D294</f>
        <v>28765</v>
      </c>
      <c r="E282" s="11">
        <f t="shared" si="37"/>
        <v>9347</v>
      </c>
      <c r="F282" s="11">
        <f t="shared" si="37"/>
        <v>19418</v>
      </c>
      <c r="G282" s="376">
        <f t="shared" si="37"/>
        <v>9113</v>
      </c>
      <c r="H282" s="11">
        <f t="shared" si="37"/>
        <v>0</v>
      </c>
      <c r="I282" s="11">
        <f t="shared" si="37"/>
        <v>0</v>
      </c>
      <c r="J282" s="11">
        <f t="shared" si="37"/>
        <v>0</v>
      </c>
      <c r="K282" s="11">
        <f t="shared" si="37"/>
        <v>0</v>
      </c>
      <c r="L282" s="11">
        <f t="shared" si="37"/>
        <v>9113</v>
      </c>
      <c r="M282" s="11">
        <f t="shared" si="37"/>
        <v>0</v>
      </c>
      <c r="N282" s="71"/>
    </row>
    <row r="283" spans="1:14" s="16" customFormat="1" ht="29.25" customHeight="1">
      <c r="A283" s="28"/>
      <c r="B283" s="48" t="s">
        <v>3</v>
      </c>
      <c r="C283" s="11">
        <f>C287+C291+C295</f>
        <v>19821</v>
      </c>
      <c r="D283" s="11">
        <f aca="true" t="shared" si="38" ref="D283:M283">D287+D291+D295</f>
        <v>23382</v>
      </c>
      <c r="E283" s="11">
        <f t="shared" si="38"/>
        <v>8154</v>
      </c>
      <c r="F283" s="11">
        <f t="shared" si="38"/>
        <v>15228</v>
      </c>
      <c r="G283" s="376">
        <f t="shared" si="38"/>
        <v>8750</v>
      </c>
      <c r="H283" s="11">
        <f t="shared" si="38"/>
        <v>0</v>
      </c>
      <c r="I283" s="11">
        <f t="shared" si="38"/>
        <v>0</v>
      </c>
      <c r="J283" s="11">
        <f t="shared" si="38"/>
        <v>0</v>
      </c>
      <c r="K283" s="11">
        <f t="shared" si="38"/>
        <v>0</v>
      </c>
      <c r="L283" s="11">
        <f t="shared" si="38"/>
        <v>8750</v>
      </c>
      <c r="M283" s="11">
        <f t="shared" si="38"/>
        <v>0</v>
      </c>
      <c r="N283" s="71"/>
    </row>
    <row r="284" spans="1:14" s="16" customFormat="1" ht="26.25" customHeight="1">
      <c r="A284" s="21"/>
      <c r="B284" s="43" t="s">
        <v>13</v>
      </c>
      <c r="C284" s="63"/>
      <c r="D284" s="76"/>
      <c r="E284" s="63"/>
      <c r="F284" s="63"/>
      <c r="G284" s="76"/>
      <c r="H284" s="63"/>
      <c r="I284" s="63"/>
      <c r="J284" s="63"/>
      <c r="K284" s="63"/>
      <c r="L284" s="63"/>
      <c r="M284" s="63"/>
      <c r="N284" s="71"/>
    </row>
    <row r="285" spans="1:14" s="16" customFormat="1" ht="18" customHeight="1">
      <c r="A285" s="69"/>
      <c r="B285" s="78"/>
      <c r="C285" s="10"/>
      <c r="D285" s="10"/>
      <c r="E285" s="10"/>
      <c r="F285" s="10"/>
      <c r="G285" s="249"/>
      <c r="H285" s="10"/>
      <c r="I285" s="10"/>
      <c r="J285" s="10"/>
      <c r="K285" s="10"/>
      <c r="L285" s="10"/>
      <c r="M285" s="46"/>
      <c r="N285" s="71"/>
    </row>
    <row r="286" spans="1:14" s="19" customFormat="1" ht="51.75" customHeight="1">
      <c r="A286" s="69">
        <v>1</v>
      </c>
      <c r="B286" s="232" t="s">
        <v>293</v>
      </c>
      <c r="C286" s="304">
        <v>17907</v>
      </c>
      <c r="D286" s="304">
        <v>24194</v>
      </c>
      <c r="E286" s="304">
        <f>235+237+4220+3447+519</f>
        <v>8658</v>
      </c>
      <c r="F286" s="304">
        <f>D286-E286</f>
        <v>15536</v>
      </c>
      <c r="G286" s="377">
        <f>SUM(H286:M286)</f>
        <v>7500</v>
      </c>
      <c r="H286" s="304"/>
      <c r="I286" s="304"/>
      <c r="J286" s="304"/>
      <c r="K286" s="304"/>
      <c r="L286" s="304">
        <v>7500</v>
      </c>
      <c r="M286" s="335"/>
      <c r="N286" s="305" t="s">
        <v>35</v>
      </c>
    </row>
    <row r="287" spans="1:14" s="20" customFormat="1" ht="34.5" customHeight="1">
      <c r="A287" s="69"/>
      <c r="B287" s="197" t="s">
        <v>350</v>
      </c>
      <c r="C287" s="304">
        <v>15978</v>
      </c>
      <c r="D287" s="304">
        <v>19539</v>
      </c>
      <c r="E287" s="304">
        <f>220+4220+3389+200</f>
        <v>8029</v>
      </c>
      <c r="F287" s="304">
        <f>D287-E287</f>
        <v>11510</v>
      </c>
      <c r="G287" s="377">
        <f>SUM(H287:M287)</f>
        <v>7250</v>
      </c>
      <c r="H287" s="304"/>
      <c r="I287" s="304"/>
      <c r="J287" s="304"/>
      <c r="K287" s="304"/>
      <c r="L287" s="339">
        <v>7250</v>
      </c>
      <c r="M287" s="335"/>
      <c r="N287" s="340"/>
    </row>
    <row r="288" spans="1:14" s="20" customFormat="1" ht="12" customHeight="1">
      <c r="A288" s="69"/>
      <c r="B288" s="197"/>
      <c r="C288" s="10"/>
      <c r="D288" s="10"/>
      <c r="E288" s="10"/>
      <c r="F288" s="10"/>
      <c r="G288" s="249"/>
      <c r="H288" s="10"/>
      <c r="I288" s="10"/>
      <c r="J288" s="10"/>
      <c r="K288" s="10"/>
      <c r="L288" s="56"/>
      <c r="M288" s="46"/>
      <c r="N288" s="35"/>
    </row>
    <row r="289" spans="1:14" s="20" customFormat="1" ht="12" customHeight="1">
      <c r="A289" s="69"/>
      <c r="B289" s="197"/>
      <c r="C289" s="10"/>
      <c r="D289" s="10"/>
      <c r="E289" s="10"/>
      <c r="F289" s="10"/>
      <c r="G289" s="249"/>
      <c r="H289" s="10"/>
      <c r="I289" s="10"/>
      <c r="J289" s="10"/>
      <c r="K289" s="10"/>
      <c r="L289" s="56"/>
      <c r="M289" s="46"/>
      <c r="N289" s="35"/>
    </row>
    <row r="290" spans="1:14" s="20" customFormat="1" ht="42">
      <c r="A290" s="66">
        <v>2</v>
      </c>
      <c r="B290" s="232" t="s">
        <v>296</v>
      </c>
      <c r="C290" s="302">
        <v>2295</v>
      </c>
      <c r="D290" s="302">
        <v>2269</v>
      </c>
      <c r="E290" s="302">
        <v>344</v>
      </c>
      <c r="F290" s="304">
        <f>D290-E290</f>
        <v>1925</v>
      </c>
      <c r="G290" s="377">
        <f>SUM(H290:M290)</f>
        <v>807</v>
      </c>
      <c r="H290" s="302"/>
      <c r="I290" s="302"/>
      <c r="J290" s="302"/>
      <c r="K290" s="302"/>
      <c r="L290" s="302">
        <v>807</v>
      </c>
      <c r="M290" s="302"/>
      <c r="N290" s="305" t="s">
        <v>35</v>
      </c>
    </row>
    <row r="291" spans="1:14" s="20" customFormat="1" ht="34.5" customHeight="1">
      <c r="A291" s="66"/>
      <c r="B291" s="43" t="s">
        <v>181</v>
      </c>
      <c r="C291" s="302">
        <v>1743</v>
      </c>
      <c r="D291" s="302">
        <f>C291</f>
        <v>1743</v>
      </c>
      <c r="E291" s="302">
        <v>0</v>
      </c>
      <c r="F291" s="304">
        <f>D291-E291</f>
        <v>1743</v>
      </c>
      <c r="G291" s="377">
        <f>SUM(H291:M291)</f>
        <v>750</v>
      </c>
      <c r="H291" s="302"/>
      <c r="I291" s="302"/>
      <c r="J291" s="302"/>
      <c r="K291" s="302"/>
      <c r="L291" s="302">
        <v>750</v>
      </c>
      <c r="M291" s="302"/>
      <c r="N291" s="305"/>
    </row>
    <row r="292" spans="1:14" s="20" customFormat="1" ht="15" customHeight="1">
      <c r="A292" s="66"/>
      <c r="B292" s="43"/>
      <c r="C292" s="68"/>
      <c r="D292" s="68"/>
      <c r="E292" s="68"/>
      <c r="F292" s="10"/>
      <c r="G292" s="249"/>
      <c r="H292" s="68"/>
      <c r="I292" s="68"/>
      <c r="J292" s="68"/>
      <c r="K292" s="68"/>
      <c r="L292" s="68"/>
      <c r="M292" s="68"/>
      <c r="N292" s="33"/>
    </row>
    <row r="293" spans="1:14" s="20" customFormat="1" ht="15" customHeight="1">
      <c r="A293" s="66"/>
      <c r="B293" s="43"/>
      <c r="C293" s="68"/>
      <c r="D293" s="68"/>
      <c r="E293" s="68"/>
      <c r="F293" s="10"/>
      <c r="G293" s="249"/>
      <c r="H293" s="68"/>
      <c r="I293" s="68"/>
      <c r="J293" s="68"/>
      <c r="K293" s="68"/>
      <c r="L293" s="68"/>
      <c r="M293" s="68"/>
      <c r="N293" s="33"/>
    </row>
    <row r="294" spans="1:14" s="20" customFormat="1" ht="42">
      <c r="A294" s="66">
        <v>3</v>
      </c>
      <c r="B294" s="232" t="s">
        <v>297</v>
      </c>
      <c r="C294" s="302">
        <v>2302</v>
      </c>
      <c r="D294" s="302">
        <v>2302</v>
      </c>
      <c r="E294" s="302">
        <v>345</v>
      </c>
      <c r="F294" s="304">
        <f>D294-E294</f>
        <v>1957</v>
      </c>
      <c r="G294" s="377">
        <f>SUM(H294:M294)</f>
        <v>806</v>
      </c>
      <c r="H294" s="302"/>
      <c r="I294" s="302"/>
      <c r="J294" s="302"/>
      <c r="K294" s="302"/>
      <c r="L294" s="302">
        <v>806</v>
      </c>
      <c r="M294" s="302"/>
      <c r="N294" s="305" t="s">
        <v>35</v>
      </c>
    </row>
    <row r="295" spans="1:14" s="20" customFormat="1" ht="34.5" customHeight="1">
      <c r="A295" s="66"/>
      <c r="B295" s="43" t="s">
        <v>237</v>
      </c>
      <c r="C295" s="302">
        <v>2100</v>
      </c>
      <c r="D295" s="302">
        <f>C295</f>
        <v>2100</v>
      </c>
      <c r="E295" s="302">
        <v>125</v>
      </c>
      <c r="F295" s="304">
        <f>D295-E295</f>
        <v>1975</v>
      </c>
      <c r="G295" s="377">
        <f>SUM(H295:M295)</f>
        <v>750</v>
      </c>
      <c r="H295" s="302"/>
      <c r="I295" s="302"/>
      <c r="J295" s="302"/>
      <c r="K295" s="302"/>
      <c r="L295" s="302">
        <v>750</v>
      </c>
      <c r="M295" s="302"/>
      <c r="N295" s="305"/>
    </row>
    <row r="296" spans="1:14" s="20" customFormat="1" ht="21" customHeight="1">
      <c r="A296" s="69"/>
      <c r="B296" s="197"/>
      <c r="C296" s="10"/>
      <c r="D296" s="10"/>
      <c r="E296" s="10"/>
      <c r="F296" s="10"/>
      <c r="G296" s="249"/>
      <c r="H296" s="10"/>
      <c r="I296" s="10"/>
      <c r="J296" s="10"/>
      <c r="K296" s="10"/>
      <c r="L296" s="56"/>
      <c r="M296" s="46"/>
      <c r="N296" s="35"/>
    </row>
    <row r="297" spans="1:14" s="20" customFormat="1" ht="21" customHeight="1">
      <c r="A297" s="69"/>
      <c r="B297" s="197"/>
      <c r="C297" s="10"/>
      <c r="D297" s="10"/>
      <c r="E297" s="10"/>
      <c r="F297" s="10"/>
      <c r="G297" s="249"/>
      <c r="H297" s="10"/>
      <c r="I297" s="10"/>
      <c r="J297" s="10"/>
      <c r="K297" s="10"/>
      <c r="L297" s="56"/>
      <c r="M297" s="46"/>
      <c r="N297" s="35"/>
    </row>
    <row r="298" spans="1:14" s="56" customFormat="1" ht="22.5" customHeight="1">
      <c r="A298" s="28" t="s">
        <v>4</v>
      </c>
      <c r="B298" s="47" t="s">
        <v>10</v>
      </c>
      <c r="C298" s="27">
        <f>C302+C306+C310+C314+C318+C322+C326+C330+C334</f>
        <v>181123</v>
      </c>
      <c r="D298" s="27">
        <f aca="true" t="shared" si="39" ref="D298:M298">D302+D306+D310+D314+D318+D322+D326+D330+D334</f>
        <v>180333</v>
      </c>
      <c r="E298" s="27">
        <f t="shared" si="39"/>
        <v>98963</v>
      </c>
      <c r="F298" s="27">
        <f t="shared" si="39"/>
        <v>81370</v>
      </c>
      <c r="G298" s="376">
        <f t="shared" si="39"/>
        <v>22445</v>
      </c>
      <c r="H298" s="27">
        <f t="shared" si="39"/>
        <v>7192</v>
      </c>
      <c r="I298" s="27">
        <f t="shared" si="39"/>
        <v>0</v>
      </c>
      <c r="J298" s="27">
        <f t="shared" si="39"/>
        <v>0</v>
      </c>
      <c r="K298" s="27">
        <f t="shared" si="39"/>
        <v>0</v>
      </c>
      <c r="L298" s="27">
        <f t="shared" si="39"/>
        <v>15253</v>
      </c>
      <c r="M298" s="27">
        <f t="shared" si="39"/>
        <v>0</v>
      </c>
      <c r="N298" s="35"/>
    </row>
    <row r="299" spans="1:14" s="56" customFormat="1" ht="22.5" customHeight="1">
      <c r="A299" s="28"/>
      <c r="B299" s="48" t="s">
        <v>5</v>
      </c>
      <c r="C299" s="27">
        <f>C303+C307+C311+C315+C319+C323+C327+C331+C335</f>
        <v>70116</v>
      </c>
      <c r="D299" s="27">
        <f aca="true" t="shared" si="40" ref="D299:M299">D303+D307+D311+D315+D319+D323+D327+D331+D335</f>
        <v>69501</v>
      </c>
      <c r="E299" s="27">
        <f t="shared" si="40"/>
        <v>1390</v>
      </c>
      <c r="F299" s="27">
        <f t="shared" si="40"/>
        <v>68111</v>
      </c>
      <c r="G299" s="376">
        <f t="shared" si="40"/>
        <v>17312</v>
      </c>
      <c r="H299" s="27">
        <f t="shared" si="40"/>
        <v>7192</v>
      </c>
      <c r="I299" s="27">
        <f t="shared" si="40"/>
        <v>0</v>
      </c>
      <c r="J299" s="27">
        <f t="shared" si="40"/>
        <v>0</v>
      </c>
      <c r="K299" s="27">
        <f t="shared" si="40"/>
        <v>0</v>
      </c>
      <c r="L299" s="27">
        <f t="shared" si="40"/>
        <v>10120</v>
      </c>
      <c r="M299" s="27">
        <f t="shared" si="40"/>
        <v>0</v>
      </c>
      <c r="N299" s="33"/>
    </row>
    <row r="300" spans="1:14" s="56" customFormat="1" ht="26.25" customHeight="1">
      <c r="A300" s="45"/>
      <c r="B300" s="26" t="s">
        <v>9</v>
      </c>
      <c r="C300" s="10"/>
      <c r="D300" s="10"/>
      <c r="E300" s="63"/>
      <c r="F300" s="63"/>
      <c r="G300" s="76"/>
      <c r="H300" s="63"/>
      <c r="I300" s="63"/>
      <c r="J300" s="63"/>
      <c r="K300" s="63"/>
      <c r="L300" s="63"/>
      <c r="M300" s="63"/>
      <c r="N300" s="33"/>
    </row>
    <row r="301" spans="1:14" s="56" customFormat="1" ht="14.25" customHeight="1">
      <c r="A301" s="45"/>
      <c r="B301" s="26"/>
      <c r="C301" s="10"/>
      <c r="D301" s="10"/>
      <c r="E301" s="63"/>
      <c r="F301" s="63"/>
      <c r="G301" s="76"/>
      <c r="H301" s="63"/>
      <c r="I301" s="63"/>
      <c r="J301" s="63"/>
      <c r="K301" s="63"/>
      <c r="L301" s="63"/>
      <c r="M301" s="63"/>
      <c r="N301" s="33"/>
    </row>
    <row r="302" spans="1:14" s="56" customFormat="1" ht="34.5" customHeight="1">
      <c r="A302" s="28">
        <v>1</v>
      </c>
      <c r="B302" s="355" t="s">
        <v>119</v>
      </c>
      <c r="C302" s="302">
        <v>100647</v>
      </c>
      <c r="D302" s="303">
        <v>100647</v>
      </c>
      <c r="E302" s="302">
        <f>4973+21006+30+35763+19098+4083+4083+8166-638</f>
        <v>96564</v>
      </c>
      <c r="F302" s="304">
        <f>D302-E302</f>
        <v>4083</v>
      </c>
      <c r="G302" s="377">
        <f>SUM(H302:M302)</f>
        <v>4083</v>
      </c>
      <c r="H302" s="304"/>
      <c r="I302" s="304"/>
      <c r="J302" s="304"/>
      <c r="K302" s="304"/>
      <c r="L302" s="304">
        <v>4083</v>
      </c>
      <c r="M302" s="304"/>
      <c r="N302" s="305" t="s">
        <v>35</v>
      </c>
    </row>
    <row r="303" spans="1:14" s="56" customFormat="1" ht="44.25" customHeight="1">
      <c r="A303" s="28"/>
      <c r="B303" s="233" t="s">
        <v>142</v>
      </c>
      <c r="C303" s="302">
        <v>0</v>
      </c>
      <c r="D303" s="302">
        <v>0</v>
      </c>
      <c r="E303" s="302">
        <v>0</v>
      </c>
      <c r="F303" s="304">
        <f>D303-E303</f>
        <v>0</v>
      </c>
      <c r="G303" s="376">
        <f>SUM(H303:M303)</f>
        <v>0</v>
      </c>
      <c r="H303" s="302"/>
      <c r="I303" s="302"/>
      <c r="J303" s="302"/>
      <c r="K303" s="302"/>
      <c r="L303" s="302">
        <v>0</v>
      </c>
      <c r="M303" s="302"/>
      <c r="N303" s="305"/>
    </row>
    <row r="304" spans="1:14" s="56" customFormat="1" ht="19.5" customHeight="1">
      <c r="A304" s="28"/>
      <c r="B304" s="233"/>
      <c r="C304" s="68"/>
      <c r="D304" s="68"/>
      <c r="E304" s="68"/>
      <c r="F304" s="10"/>
      <c r="G304" s="61"/>
      <c r="H304" s="68"/>
      <c r="I304" s="68"/>
      <c r="J304" s="68"/>
      <c r="K304" s="68"/>
      <c r="L304" s="68"/>
      <c r="M304" s="68"/>
      <c r="N304" s="33"/>
    </row>
    <row r="305" spans="1:14" s="56" customFormat="1" ht="19.5" customHeight="1">
      <c r="A305" s="69"/>
      <c r="B305" s="197"/>
      <c r="C305" s="10"/>
      <c r="D305" s="10"/>
      <c r="E305" s="10"/>
      <c r="F305" s="10"/>
      <c r="G305" s="249"/>
      <c r="H305" s="10"/>
      <c r="I305" s="10"/>
      <c r="J305" s="10"/>
      <c r="K305" s="10"/>
      <c r="L305" s="10"/>
      <c r="M305" s="46"/>
      <c r="N305" s="35"/>
    </row>
    <row r="306" spans="1:14" s="56" customFormat="1" ht="87.75" customHeight="1">
      <c r="A306" s="69">
        <v>2</v>
      </c>
      <c r="B306" s="232" t="s">
        <v>294</v>
      </c>
      <c r="C306" s="304">
        <f>2531+300</f>
        <v>2831</v>
      </c>
      <c r="D306" s="304">
        <f>C306</f>
        <v>2831</v>
      </c>
      <c r="E306" s="304">
        <v>2399</v>
      </c>
      <c r="F306" s="304">
        <f>D306-E306</f>
        <v>432</v>
      </c>
      <c r="G306" s="377">
        <f>SUM(H306:M306)</f>
        <v>370</v>
      </c>
      <c r="H306" s="304"/>
      <c r="I306" s="304"/>
      <c r="J306" s="304"/>
      <c r="K306" s="304"/>
      <c r="L306" s="304">
        <v>370</v>
      </c>
      <c r="M306" s="335"/>
      <c r="N306" s="305" t="s">
        <v>35</v>
      </c>
    </row>
    <row r="307" spans="1:14" s="56" customFormat="1" ht="22.5" customHeight="1">
      <c r="A307" s="69"/>
      <c r="B307" s="197" t="s">
        <v>158</v>
      </c>
      <c r="C307" s="304">
        <f>1376+300</f>
        <v>1676</v>
      </c>
      <c r="D307" s="304">
        <f>C307+84</f>
        <v>1760</v>
      </c>
      <c r="E307" s="304">
        <v>1390</v>
      </c>
      <c r="F307" s="304">
        <f>D307-E307</f>
        <v>370</v>
      </c>
      <c r="G307" s="377">
        <f>SUM(H307:M307)</f>
        <v>370</v>
      </c>
      <c r="H307" s="304"/>
      <c r="I307" s="304"/>
      <c r="J307" s="304"/>
      <c r="K307" s="304"/>
      <c r="L307" s="304">
        <v>370</v>
      </c>
      <c r="M307" s="335"/>
      <c r="N307" s="340"/>
    </row>
    <row r="308" spans="1:14" s="56" customFormat="1" ht="23.25" customHeight="1">
      <c r="A308" s="69"/>
      <c r="B308" s="197"/>
      <c r="C308" s="10"/>
      <c r="D308" s="10"/>
      <c r="E308" s="10"/>
      <c r="F308" s="10"/>
      <c r="G308" s="249"/>
      <c r="H308" s="10"/>
      <c r="I308" s="10"/>
      <c r="J308" s="10"/>
      <c r="K308" s="10"/>
      <c r="L308" s="10"/>
      <c r="M308" s="46"/>
      <c r="N308" s="35"/>
    </row>
    <row r="309" spans="1:14" s="56" customFormat="1" ht="23.25" customHeight="1">
      <c r="A309" s="69"/>
      <c r="B309" s="197"/>
      <c r="C309" s="10"/>
      <c r="D309" s="10"/>
      <c r="E309" s="10"/>
      <c r="F309" s="10"/>
      <c r="G309" s="249"/>
      <c r="H309" s="10"/>
      <c r="I309" s="10"/>
      <c r="J309" s="10"/>
      <c r="K309" s="10"/>
      <c r="L309" s="10"/>
      <c r="M309" s="46"/>
      <c r="N309" s="35"/>
    </row>
    <row r="310" spans="1:14" s="56" customFormat="1" ht="46.5" customHeight="1">
      <c r="A310" s="69">
        <v>3</v>
      </c>
      <c r="B310" s="232" t="s">
        <v>295</v>
      </c>
      <c r="C310" s="304">
        <v>10423</v>
      </c>
      <c r="D310" s="304">
        <f>C310</f>
        <v>10423</v>
      </c>
      <c r="E310" s="304">
        <v>0</v>
      </c>
      <c r="F310" s="304">
        <f>D310-E310</f>
        <v>10423</v>
      </c>
      <c r="G310" s="377">
        <f>SUM(H310:M310)</f>
        <v>2000</v>
      </c>
      <c r="H310" s="304"/>
      <c r="I310" s="304"/>
      <c r="J310" s="304"/>
      <c r="K310" s="304"/>
      <c r="L310" s="304">
        <v>2000</v>
      </c>
      <c r="M310" s="335"/>
      <c r="N310" s="305" t="s">
        <v>35</v>
      </c>
    </row>
    <row r="311" spans="1:14" s="56" customFormat="1" ht="29.25" customHeight="1">
      <c r="A311" s="69"/>
      <c r="B311" s="197" t="s">
        <v>229</v>
      </c>
      <c r="C311" s="304">
        <v>8480</v>
      </c>
      <c r="D311" s="304">
        <f>C311</f>
        <v>8480</v>
      </c>
      <c r="E311" s="304">
        <v>0</v>
      </c>
      <c r="F311" s="304">
        <f>D311-E311</f>
        <v>8480</v>
      </c>
      <c r="G311" s="377">
        <f>SUM(H311:M311)</f>
        <v>1550</v>
      </c>
      <c r="H311" s="304"/>
      <c r="I311" s="304"/>
      <c r="J311" s="304"/>
      <c r="K311" s="304"/>
      <c r="L311" s="304">
        <v>1550</v>
      </c>
      <c r="M311" s="335"/>
      <c r="N311" s="340"/>
    </row>
    <row r="312" spans="1:14" s="56" customFormat="1" ht="22.5" customHeight="1">
      <c r="A312" s="69"/>
      <c r="B312" s="197"/>
      <c r="C312" s="10"/>
      <c r="D312" s="10"/>
      <c r="E312" s="10"/>
      <c r="F312" s="10"/>
      <c r="G312" s="249"/>
      <c r="H312" s="10"/>
      <c r="I312" s="10"/>
      <c r="J312" s="10"/>
      <c r="K312" s="10"/>
      <c r="L312" s="10"/>
      <c r="M312" s="46"/>
      <c r="N312" s="35"/>
    </row>
    <row r="313" spans="1:14" s="56" customFormat="1" ht="22.5" customHeight="1">
      <c r="A313" s="69"/>
      <c r="B313" s="197"/>
      <c r="C313" s="10"/>
      <c r="D313" s="10"/>
      <c r="E313" s="10"/>
      <c r="F313" s="10"/>
      <c r="G313" s="249"/>
      <c r="H313" s="10"/>
      <c r="I313" s="10"/>
      <c r="J313" s="10"/>
      <c r="K313" s="10"/>
      <c r="L313" s="10"/>
      <c r="M313" s="46"/>
      <c r="N313" s="35"/>
    </row>
    <row r="314" spans="1:14" s="56" customFormat="1" ht="40.5" customHeight="1">
      <c r="A314" s="66">
        <v>4</v>
      </c>
      <c r="B314" s="232" t="s">
        <v>476</v>
      </c>
      <c r="C314" s="302">
        <v>1590</v>
      </c>
      <c r="D314" s="302">
        <v>800</v>
      </c>
      <c r="E314" s="302">
        <v>0</v>
      </c>
      <c r="F314" s="304">
        <f>D314-E314</f>
        <v>800</v>
      </c>
      <c r="G314" s="377">
        <f>SUM(H314:M314)</f>
        <v>800</v>
      </c>
      <c r="H314" s="302"/>
      <c r="I314" s="302"/>
      <c r="J314" s="302"/>
      <c r="K314" s="302"/>
      <c r="L314" s="302">
        <v>800</v>
      </c>
      <c r="M314" s="302"/>
      <c r="N314" s="305" t="s">
        <v>35</v>
      </c>
    </row>
    <row r="315" spans="1:14" s="56" customFormat="1" ht="24" customHeight="1">
      <c r="A315" s="66"/>
      <c r="B315" s="171" t="s">
        <v>477</v>
      </c>
      <c r="C315" s="302">
        <v>1399</v>
      </c>
      <c r="D315" s="302">
        <v>700</v>
      </c>
      <c r="E315" s="302">
        <v>0</v>
      </c>
      <c r="F315" s="304">
        <f>D315-E315</f>
        <v>700</v>
      </c>
      <c r="G315" s="377">
        <f>SUM(H315:M315)</f>
        <v>700</v>
      </c>
      <c r="H315" s="302"/>
      <c r="I315" s="302"/>
      <c r="J315" s="302"/>
      <c r="K315" s="302"/>
      <c r="L315" s="302">
        <v>700</v>
      </c>
      <c r="M315" s="302"/>
      <c r="N315" s="305"/>
    </row>
    <row r="316" spans="1:14" s="56" customFormat="1" ht="26.25" customHeight="1">
      <c r="A316" s="69"/>
      <c r="B316" s="197"/>
      <c r="C316" s="10"/>
      <c r="D316" s="10"/>
      <c r="E316" s="10"/>
      <c r="F316" s="10"/>
      <c r="G316" s="249"/>
      <c r="H316" s="10"/>
      <c r="I316" s="10"/>
      <c r="J316" s="10"/>
      <c r="K316" s="10"/>
      <c r="L316" s="10"/>
      <c r="M316" s="46"/>
      <c r="N316" s="35"/>
    </row>
    <row r="317" spans="1:14" s="56" customFormat="1" ht="26.25" customHeight="1">
      <c r="A317" s="69"/>
      <c r="B317" s="197"/>
      <c r="C317" s="10"/>
      <c r="D317" s="10"/>
      <c r="E317" s="10"/>
      <c r="F317" s="10"/>
      <c r="G317" s="249"/>
      <c r="H317" s="10"/>
      <c r="I317" s="10"/>
      <c r="J317" s="10"/>
      <c r="K317" s="10"/>
      <c r="L317" s="10"/>
      <c r="M317" s="46"/>
      <c r="N317" s="35"/>
    </row>
    <row r="318" spans="1:14" s="56" customFormat="1" ht="48" customHeight="1">
      <c r="A318" s="66">
        <v>5</v>
      </c>
      <c r="B318" s="232" t="s">
        <v>361</v>
      </c>
      <c r="C318" s="302">
        <v>22224</v>
      </c>
      <c r="D318" s="302">
        <v>22224</v>
      </c>
      <c r="E318" s="302">
        <v>0</v>
      </c>
      <c r="F318" s="304">
        <f>D318-E318</f>
        <v>22224</v>
      </c>
      <c r="G318" s="377">
        <f>SUM(H318:M318)</f>
        <v>8000</v>
      </c>
      <c r="H318" s="302"/>
      <c r="I318" s="302"/>
      <c r="J318" s="302"/>
      <c r="K318" s="302"/>
      <c r="L318" s="302">
        <v>8000</v>
      </c>
      <c r="M318" s="302"/>
      <c r="N318" s="305" t="s">
        <v>35</v>
      </c>
    </row>
    <row r="319" spans="1:14" s="56" customFormat="1" ht="38.25" customHeight="1">
      <c r="A319" s="66"/>
      <c r="B319" s="43" t="s">
        <v>362</v>
      </c>
      <c r="C319" s="302">
        <v>16761</v>
      </c>
      <c r="D319" s="302">
        <f>C319</f>
        <v>16761</v>
      </c>
      <c r="E319" s="302">
        <v>0</v>
      </c>
      <c r="F319" s="304">
        <f>D319-E319</f>
        <v>16761</v>
      </c>
      <c r="G319" s="377">
        <f>SUM(H319:M319)</f>
        <v>7500</v>
      </c>
      <c r="H319" s="302"/>
      <c r="I319" s="302"/>
      <c r="J319" s="302"/>
      <c r="K319" s="302"/>
      <c r="L319" s="302">
        <v>7500</v>
      </c>
      <c r="M319" s="302"/>
      <c r="N319" s="305"/>
    </row>
    <row r="320" spans="1:14" s="56" customFormat="1" ht="14.25" customHeight="1">
      <c r="A320" s="66"/>
      <c r="B320" s="43"/>
      <c r="C320" s="68"/>
      <c r="D320" s="68"/>
      <c r="E320" s="68"/>
      <c r="F320" s="10"/>
      <c r="G320" s="249"/>
      <c r="H320" s="68"/>
      <c r="I320" s="68"/>
      <c r="J320" s="68"/>
      <c r="K320" s="68"/>
      <c r="L320" s="68"/>
      <c r="M320" s="68"/>
      <c r="N320" s="33"/>
    </row>
    <row r="321" spans="1:14" s="56" customFormat="1" ht="14.25" customHeight="1">
      <c r="A321" s="66"/>
      <c r="B321" s="43"/>
      <c r="C321" s="68"/>
      <c r="D321" s="68"/>
      <c r="E321" s="68"/>
      <c r="F321" s="10"/>
      <c r="G321" s="249"/>
      <c r="H321" s="68"/>
      <c r="I321" s="68"/>
      <c r="J321" s="68"/>
      <c r="K321" s="68"/>
      <c r="L321" s="68"/>
      <c r="M321" s="68"/>
      <c r="N321" s="33"/>
    </row>
    <row r="322" spans="1:14" s="56" customFormat="1" ht="55.5">
      <c r="A322" s="66">
        <v>6</v>
      </c>
      <c r="B322" s="232" t="s">
        <v>433</v>
      </c>
      <c r="C322" s="341">
        <v>12373</v>
      </c>
      <c r="D322" s="341">
        <f>C322</f>
        <v>12373</v>
      </c>
      <c r="E322" s="341">
        <v>0</v>
      </c>
      <c r="F322" s="304">
        <f>D322-E322</f>
        <v>12373</v>
      </c>
      <c r="G322" s="377">
        <f>SUM(H322:M322)</f>
        <v>2021</v>
      </c>
      <c r="H322" s="302">
        <v>2021</v>
      </c>
      <c r="I322" s="302"/>
      <c r="J322" s="302">
        <v>0</v>
      </c>
      <c r="K322" s="302"/>
      <c r="L322" s="302">
        <v>0</v>
      </c>
      <c r="M322" s="302">
        <v>0</v>
      </c>
      <c r="N322" s="305" t="s">
        <v>32</v>
      </c>
    </row>
    <row r="323" spans="1:14" s="56" customFormat="1" ht="24" customHeight="1">
      <c r="A323" s="66"/>
      <c r="B323" s="196" t="s">
        <v>456</v>
      </c>
      <c r="C323" s="302">
        <v>12000</v>
      </c>
      <c r="D323" s="302">
        <f>C323</f>
        <v>12000</v>
      </c>
      <c r="E323" s="302">
        <v>0</v>
      </c>
      <c r="F323" s="304">
        <f>D323-E323</f>
        <v>12000</v>
      </c>
      <c r="G323" s="377">
        <f>SUM(H323:M323)</f>
        <v>2021</v>
      </c>
      <c r="H323" s="302">
        <v>2021</v>
      </c>
      <c r="I323" s="302"/>
      <c r="J323" s="302">
        <v>0</v>
      </c>
      <c r="K323" s="302"/>
      <c r="L323" s="302">
        <v>0</v>
      </c>
      <c r="M323" s="302">
        <v>0</v>
      </c>
      <c r="N323" s="305"/>
    </row>
    <row r="324" spans="1:14" s="56" customFormat="1" ht="17.25" customHeight="1">
      <c r="A324" s="66"/>
      <c r="B324" s="43"/>
      <c r="C324" s="68"/>
      <c r="D324" s="68"/>
      <c r="E324" s="68"/>
      <c r="F324" s="10"/>
      <c r="G324" s="249"/>
      <c r="H324" s="68"/>
      <c r="I324" s="68"/>
      <c r="J324" s="68"/>
      <c r="K324" s="68"/>
      <c r="L324" s="68"/>
      <c r="M324" s="68"/>
      <c r="N324" s="33"/>
    </row>
    <row r="325" spans="1:14" s="56" customFormat="1" ht="17.25" customHeight="1">
      <c r="A325" s="66"/>
      <c r="B325" s="43"/>
      <c r="C325" s="68"/>
      <c r="D325" s="68"/>
      <c r="E325" s="68"/>
      <c r="F325" s="10"/>
      <c r="G325" s="249"/>
      <c r="H325" s="68"/>
      <c r="I325" s="68"/>
      <c r="J325" s="68"/>
      <c r="K325" s="68"/>
      <c r="L325" s="68"/>
      <c r="M325" s="68"/>
      <c r="N325" s="33"/>
    </row>
    <row r="326" spans="1:14" s="56" customFormat="1" ht="55.5">
      <c r="A326" s="66">
        <v>7</v>
      </c>
      <c r="B326" s="232" t="s">
        <v>434</v>
      </c>
      <c r="C326" s="341">
        <v>12842</v>
      </c>
      <c r="D326" s="341">
        <f>C326</f>
        <v>12842</v>
      </c>
      <c r="E326" s="341">
        <v>0</v>
      </c>
      <c r="F326" s="304">
        <f>D326-E326</f>
        <v>12842</v>
      </c>
      <c r="G326" s="377">
        <f>SUM(H326:M326)</f>
        <v>2140</v>
      </c>
      <c r="H326" s="302">
        <v>2140</v>
      </c>
      <c r="I326" s="302"/>
      <c r="J326" s="302">
        <v>0</v>
      </c>
      <c r="K326" s="302"/>
      <c r="L326" s="302">
        <v>0</v>
      </c>
      <c r="M326" s="302">
        <v>0</v>
      </c>
      <c r="N326" s="305" t="s">
        <v>32</v>
      </c>
    </row>
    <row r="327" spans="1:14" s="56" customFormat="1" ht="28.5" customHeight="1">
      <c r="A327" s="66"/>
      <c r="B327" s="196" t="s">
        <v>453</v>
      </c>
      <c r="C327" s="302">
        <v>12400</v>
      </c>
      <c r="D327" s="302">
        <f>C327</f>
        <v>12400</v>
      </c>
      <c r="E327" s="302">
        <v>0</v>
      </c>
      <c r="F327" s="304">
        <f>D327-E327</f>
        <v>12400</v>
      </c>
      <c r="G327" s="377">
        <f>SUM(H327:M327)</f>
        <v>2140</v>
      </c>
      <c r="H327" s="302">
        <v>2140</v>
      </c>
      <c r="I327" s="302"/>
      <c r="J327" s="302">
        <v>0</v>
      </c>
      <c r="K327" s="302"/>
      <c r="L327" s="302">
        <v>0</v>
      </c>
      <c r="M327" s="302">
        <v>0</v>
      </c>
      <c r="N327" s="305"/>
    </row>
    <row r="328" spans="1:14" s="56" customFormat="1" ht="15.75" customHeight="1">
      <c r="A328" s="66"/>
      <c r="B328" s="43"/>
      <c r="C328" s="68"/>
      <c r="D328" s="68"/>
      <c r="E328" s="68"/>
      <c r="F328" s="10"/>
      <c r="G328" s="249"/>
      <c r="H328" s="68"/>
      <c r="I328" s="68"/>
      <c r="J328" s="68"/>
      <c r="K328" s="68"/>
      <c r="L328" s="68"/>
      <c r="M328" s="68"/>
      <c r="N328" s="33"/>
    </row>
    <row r="329" spans="1:14" s="56" customFormat="1" ht="15.75" customHeight="1">
      <c r="A329" s="66"/>
      <c r="B329" s="43"/>
      <c r="C329" s="68"/>
      <c r="D329" s="68"/>
      <c r="E329" s="68"/>
      <c r="F329" s="10"/>
      <c r="G329" s="249"/>
      <c r="H329" s="68"/>
      <c r="I329" s="68"/>
      <c r="J329" s="68"/>
      <c r="K329" s="68"/>
      <c r="L329" s="68"/>
      <c r="M329" s="68"/>
      <c r="N329" s="33"/>
    </row>
    <row r="330" spans="1:14" s="56" customFormat="1" ht="42">
      <c r="A330" s="66">
        <v>8</v>
      </c>
      <c r="B330" s="232" t="s">
        <v>435</v>
      </c>
      <c r="C330" s="341">
        <v>4326</v>
      </c>
      <c r="D330" s="341">
        <f>C330</f>
        <v>4326</v>
      </c>
      <c r="E330" s="341">
        <v>0</v>
      </c>
      <c r="F330" s="304">
        <f>D330-E330</f>
        <v>4326</v>
      </c>
      <c r="G330" s="377">
        <f>SUM(H330:M330)</f>
        <v>720</v>
      </c>
      <c r="H330" s="302">
        <v>720</v>
      </c>
      <c r="I330" s="302"/>
      <c r="J330" s="302">
        <v>0</v>
      </c>
      <c r="K330" s="302"/>
      <c r="L330" s="302">
        <v>0</v>
      </c>
      <c r="M330" s="302">
        <v>0</v>
      </c>
      <c r="N330" s="305" t="s">
        <v>32</v>
      </c>
    </row>
    <row r="331" spans="1:14" s="56" customFormat="1" ht="27" customHeight="1">
      <c r="A331" s="66"/>
      <c r="B331" s="196" t="s">
        <v>454</v>
      </c>
      <c r="C331" s="302">
        <v>4000</v>
      </c>
      <c r="D331" s="302">
        <f>C331</f>
        <v>4000</v>
      </c>
      <c r="E331" s="302">
        <v>0</v>
      </c>
      <c r="F331" s="304">
        <f>D331-E331</f>
        <v>4000</v>
      </c>
      <c r="G331" s="377">
        <f>SUM(H331:M331)</f>
        <v>720</v>
      </c>
      <c r="H331" s="302">
        <v>720</v>
      </c>
      <c r="I331" s="302"/>
      <c r="J331" s="302">
        <v>0</v>
      </c>
      <c r="K331" s="302"/>
      <c r="L331" s="302">
        <v>0</v>
      </c>
      <c r="M331" s="302">
        <v>0</v>
      </c>
      <c r="N331" s="305"/>
    </row>
    <row r="332" spans="1:14" s="56" customFormat="1" ht="26.25" customHeight="1">
      <c r="A332" s="66"/>
      <c r="B332" s="43"/>
      <c r="C332" s="68"/>
      <c r="D332" s="68"/>
      <c r="E332" s="68"/>
      <c r="F332" s="10"/>
      <c r="G332" s="249"/>
      <c r="H332" s="68"/>
      <c r="I332" s="68"/>
      <c r="J332" s="68"/>
      <c r="K332" s="68"/>
      <c r="L332" s="68"/>
      <c r="M332" s="68"/>
      <c r="N332" s="33"/>
    </row>
    <row r="333" spans="1:14" s="56" customFormat="1" ht="26.25" customHeight="1">
      <c r="A333" s="66"/>
      <c r="B333" s="43"/>
      <c r="C333" s="68"/>
      <c r="D333" s="68"/>
      <c r="E333" s="68"/>
      <c r="F333" s="10"/>
      <c r="G333" s="249"/>
      <c r="H333" s="68"/>
      <c r="I333" s="68"/>
      <c r="J333" s="68"/>
      <c r="K333" s="68"/>
      <c r="L333" s="68"/>
      <c r="M333" s="68"/>
      <c r="N333" s="33"/>
    </row>
    <row r="334" spans="1:14" s="56" customFormat="1" ht="42">
      <c r="A334" s="66">
        <v>9</v>
      </c>
      <c r="B334" s="232" t="s">
        <v>436</v>
      </c>
      <c r="C334" s="341">
        <v>13867</v>
      </c>
      <c r="D334" s="341">
        <f>C334</f>
        <v>13867</v>
      </c>
      <c r="E334" s="341">
        <v>0</v>
      </c>
      <c r="F334" s="304">
        <f>D334-E334</f>
        <v>13867</v>
      </c>
      <c r="G334" s="377">
        <f>SUM(H334:M334)</f>
        <v>2311</v>
      </c>
      <c r="H334" s="302">
        <v>2311</v>
      </c>
      <c r="I334" s="302"/>
      <c r="J334" s="302">
        <v>0</v>
      </c>
      <c r="K334" s="302"/>
      <c r="L334" s="302">
        <v>0</v>
      </c>
      <c r="M334" s="302">
        <v>0</v>
      </c>
      <c r="N334" s="305" t="s">
        <v>32</v>
      </c>
    </row>
    <row r="335" spans="1:14" s="56" customFormat="1" ht="38.25" customHeight="1">
      <c r="A335" s="66"/>
      <c r="B335" s="196" t="s">
        <v>455</v>
      </c>
      <c r="C335" s="302">
        <v>13400</v>
      </c>
      <c r="D335" s="302">
        <f>C335</f>
        <v>13400</v>
      </c>
      <c r="E335" s="302">
        <v>0</v>
      </c>
      <c r="F335" s="304">
        <f>D335-E335</f>
        <v>13400</v>
      </c>
      <c r="G335" s="377">
        <f>SUM(H335:M335)</f>
        <v>2311</v>
      </c>
      <c r="H335" s="302">
        <v>2311</v>
      </c>
      <c r="I335" s="302"/>
      <c r="J335" s="302">
        <v>0</v>
      </c>
      <c r="K335" s="302"/>
      <c r="L335" s="302">
        <v>0</v>
      </c>
      <c r="M335" s="302">
        <v>0</v>
      </c>
      <c r="N335" s="305"/>
    </row>
    <row r="336" spans="1:14" s="56" customFormat="1" ht="18.75" customHeight="1">
      <c r="A336" s="69"/>
      <c r="B336" s="197"/>
      <c r="C336" s="10"/>
      <c r="D336" s="10"/>
      <c r="E336" s="10"/>
      <c r="F336" s="10"/>
      <c r="G336" s="249"/>
      <c r="H336" s="10"/>
      <c r="I336" s="10"/>
      <c r="J336" s="10"/>
      <c r="K336" s="10"/>
      <c r="M336" s="46"/>
      <c r="N336" s="35"/>
    </row>
    <row r="337" spans="1:14" s="56" customFormat="1" ht="18.75" customHeight="1">
      <c r="A337" s="69"/>
      <c r="B337" s="197"/>
      <c r="C337" s="10"/>
      <c r="D337" s="10"/>
      <c r="E337" s="10"/>
      <c r="F337" s="10"/>
      <c r="G337" s="249"/>
      <c r="H337" s="10"/>
      <c r="I337" s="10"/>
      <c r="J337" s="10"/>
      <c r="K337" s="10"/>
      <c r="M337" s="46"/>
      <c r="N337" s="35"/>
    </row>
    <row r="338" spans="1:14" s="56" customFormat="1" ht="18.75" customHeight="1">
      <c r="A338" s="69"/>
      <c r="B338" s="81"/>
      <c r="C338" s="10"/>
      <c r="D338" s="10"/>
      <c r="E338" s="10"/>
      <c r="F338" s="80"/>
      <c r="G338" s="61"/>
      <c r="H338" s="10"/>
      <c r="I338" s="10"/>
      <c r="J338" s="10"/>
      <c r="K338" s="10"/>
      <c r="L338" s="10"/>
      <c r="M338" s="46"/>
      <c r="N338" s="33"/>
    </row>
    <row r="339" spans="1:14" s="56" customFormat="1" ht="21" customHeight="1">
      <c r="A339" s="28" t="s">
        <v>6</v>
      </c>
      <c r="B339" s="47" t="s">
        <v>14</v>
      </c>
      <c r="C339" s="11">
        <f>C342+C343+C344</f>
        <v>55117</v>
      </c>
      <c r="D339" s="11">
        <f aca="true" t="shared" si="41" ref="D339:M339">D342+D343+D344</f>
        <v>55117</v>
      </c>
      <c r="E339" s="11">
        <f t="shared" si="41"/>
        <v>7856</v>
      </c>
      <c r="F339" s="11">
        <f t="shared" si="41"/>
        <v>47261</v>
      </c>
      <c r="G339" s="376">
        <f t="shared" si="41"/>
        <v>47261</v>
      </c>
      <c r="H339" s="11">
        <f t="shared" si="41"/>
        <v>0</v>
      </c>
      <c r="I339" s="11">
        <f t="shared" si="41"/>
        <v>0</v>
      </c>
      <c r="J339" s="11">
        <f t="shared" si="41"/>
        <v>0</v>
      </c>
      <c r="K339" s="11">
        <f t="shared" si="41"/>
        <v>25039</v>
      </c>
      <c r="L339" s="11">
        <f t="shared" si="41"/>
        <v>22222</v>
      </c>
      <c r="M339" s="11">
        <f t="shared" si="41"/>
        <v>0</v>
      </c>
      <c r="N339" s="33"/>
    </row>
    <row r="340" spans="1:14" s="56" customFormat="1" ht="21" customHeight="1">
      <c r="A340" s="28"/>
      <c r="B340" s="48" t="s">
        <v>15</v>
      </c>
      <c r="C340" s="10"/>
      <c r="D340" s="63"/>
      <c r="E340" s="10"/>
      <c r="F340" s="10"/>
      <c r="G340" s="61"/>
      <c r="H340" s="10"/>
      <c r="I340" s="10"/>
      <c r="J340" s="63"/>
      <c r="K340" s="63"/>
      <c r="L340" s="63"/>
      <c r="M340" s="10"/>
      <c r="N340" s="33"/>
    </row>
    <row r="341" spans="1:14" s="56" customFormat="1" ht="21" customHeight="1">
      <c r="A341" s="58"/>
      <c r="B341" s="26" t="s">
        <v>9</v>
      </c>
      <c r="C341" s="10"/>
      <c r="D341" s="10"/>
      <c r="E341" s="10"/>
      <c r="F341" s="10"/>
      <c r="G341" s="61"/>
      <c r="H341" s="10"/>
      <c r="I341" s="10"/>
      <c r="J341" s="10"/>
      <c r="K341" s="10"/>
      <c r="L341" s="10"/>
      <c r="M341" s="63"/>
      <c r="N341" s="33"/>
    </row>
    <row r="342" spans="1:14" s="56" customFormat="1" ht="24.75" customHeight="1">
      <c r="A342" s="45"/>
      <c r="B342" s="34" t="s">
        <v>0</v>
      </c>
      <c r="C342" s="63">
        <f>'Studii si proiecte 2022'!D205</f>
        <v>11780</v>
      </c>
      <c r="D342" s="63">
        <f>'Studii si proiecte 2022'!E205</f>
        <v>11780</v>
      </c>
      <c r="E342" s="63">
        <f>'Studii si proiecte 2022'!F205</f>
        <v>1255</v>
      </c>
      <c r="F342" s="63">
        <f>'Studii si proiecte 2022'!G205</f>
        <v>10525</v>
      </c>
      <c r="G342" s="375">
        <f>'Studii si proiecte 2022'!H205</f>
        <v>10525</v>
      </c>
      <c r="H342" s="63">
        <f>'Studii si proiecte 2022'!I205</f>
        <v>0</v>
      </c>
      <c r="I342" s="63">
        <f>'Studii si proiecte 2022'!J205</f>
        <v>0</v>
      </c>
      <c r="J342" s="63">
        <f>'Studii si proiecte 2022'!K205</f>
        <v>0</v>
      </c>
      <c r="K342" s="63">
        <f>'Studii si proiecte 2022'!L205</f>
        <v>4629</v>
      </c>
      <c r="L342" s="63">
        <f>'Studii si proiecte 2022'!M205</f>
        <v>5896</v>
      </c>
      <c r="M342" s="63">
        <f>'Studii si proiecte 2022'!N205</f>
        <v>0</v>
      </c>
      <c r="N342" s="33"/>
    </row>
    <row r="343" spans="1:14" s="56" customFormat="1" ht="24.75" customHeight="1">
      <c r="A343" s="58"/>
      <c r="B343" s="34" t="s">
        <v>24</v>
      </c>
      <c r="C343" s="63">
        <f>'Dotari 2022'!D76</f>
        <v>21505</v>
      </c>
      <c r="D343" s="63">
        <f>'Dotari 2022'!E76</f>
        <v>21505</v>
      </c>
      <c r="E343" s="63">
        <f>'Dotari 2022'!F76</f>
        <v>6561</v>
      </c>
      <c r="F343" s="63">
        <f>'Dotari 2022'!G76</f>
        <v>14944</v>
      </c>
      <c r="G343" s="375">
        <f>'Dotari 2022'!H76</f>
        <v>14944</v>
      </c>
      <c r="H343" s="63">
        <f>'Dotari 2022'!I76</f>
        <v>0</v>
      </c>
      <c r="I343" s="63">
        <f>'Dotari 2022'!J76</f>
        <v>0</v>
      </c>
      <c r="J343" s="63">
        <f>'Dotari 2022'!K76</f>
        <v>0</v>
      </c>
      <c r="K343" s="63">
        <f>'Dotari 2022'!L76</f>
        <v>0</v>
      </c>
      <c r="L343" s="63">
        <f>'Dotari 2022'!M76</f>
        <v>14944</v>
      </c>
      <c r="M343" s="63">
        <f>'Dotari 2022'!N76</f>
        <v>0</v>
      </c>
      <c r="N343" s="33"/>
    </row>
    <row r="344" spans="1:14" s="56" customFormat="1" ht="24.75" customHeight="1">
      <c r="A344" s="58"/>
      <c r="B344" s="34" t="s">
        <v>84</v>
      </c>
      <c r="C344" s="82">
        <f>'Alte chelt 2022'!D68</f>
        <v>21832</v>
      </c>
      <c r="D344" s="82">
        <f>'Alte chelt 2022'!E68</f>
        <v>21832</v>
      </c>
      <c r="E344" s="82">
        <f>'Alte chelt 2022'!F68</f>
        <v>40</v>
      </c>
      <c r="F344" s="82">
        <f>'Alte chelt 2022'!G68</f>
        <v>21792</v>
      </c>
      <c r="G344" s="381">
        <f>'Alte chelt 2022'!H68</f>
        <v>21792</v>
      </c>
      <c r="H344" s="82">
        <f>'Alte chelt 2022'!I68</f>
        <v>0</v>
      </c>
      <c r="I344" s="82">
        <f>'Alte chelt 2022'!J68</f>
        <v>0</v>
      </c>
      <c r="J344" s="82">
        <f>'Alte chelt 2022'!K68</f>
        <v>0</v>
      </c>
      <c r="K344" s="82">
        <f>'Alte chelt 2022'!L68</f>
        <v>20410</v>
      </c>
      <c r="L344" s="82">
        <f>'Alte chelt 2022'!M68</f>
        <v>1382</v>
      </c>
      <c r="M344" s="82">
        <f>'Alte chelt 2022'!N68</f>
        <v>0</v>
      </c>
      <c r="N344" s="33"/>
    </row>
    <row r="345" spans="1:14" s="56" customFormat="1" ht="24.75" customHeight="1">
      <c r="A345" s="58"/>
      <c r="B345" s="34"/>
      <c r="C345" s="82"/>
      <c r="D345" s="82"/>
      <c r="E345" s="82"/>
      <c r="F345" s="82"/>
      <c r="G345" s="381"/>
      <c r="H345" s="82"/>
      <c r="I345" s="82"/>
      <c r="J345" s="82"/>
      <c r="K345" s="82"/>
      <c r="L345" s="82"/>
      <c r="M345" s="82"/>
      <c r="N345" s="33"/>
    </row>
    <row r="346" spans="1:14" s="56" customFormat="1" ht="24.75" customHeight="1">
      <c r="A346" s="58"/>
      <c r="B346" s="34"/>
      <c r="C346" s="82"/>
      <c r="D346" s="82"/>
      <c r="E346" s="82"/>
      <c r="F346" s="82"/>
      <c r="G346" s="381"/>
      <c r="H346" s="82"/>
      <c r="I346" s="82"/>
      <c r="J346" s="82"/>
      <c r="K346" s="82"/>
      <c r="L346" s="82"/>
      <c r="M346" s="82"/>
      <c r="N346" s="33"/>
    </row>
    <row r="347" spans="1:14" s="56" customFormat="1" ht="24.75" customHeight="1">
      <c r="A347" s="58"/>
      <c r="B347" s="34"/>
      <c r="C347" s="82"/>
      <c r="D347" s="82"/>
      <c r="E347" s="82"/>
      <c r="F347" s="82"/>
      <c r="G347" s="373"/>
      <c r="H347" s="82"/>
      <c r="I347" s="82"/>
      <c r="J347" s="82"/>
      <c r="K347" s="82"/>
      <c r="L347" s="82"/>
      <c r="M347" s="82"/>
      <c r="N347" s="33"/>
    </row>
    <row r="348" spans="1:14" s="56" customFormat="1" ht="41.25" customHeight="1">
      <c r="A348" s="260"/>
      <c r="B348" s="170" t="s">
        <v>70</v>
      </c>
      <c r="C348" s="18" t="s">
        <v>59</v>
      </c>
      <c r="D348" s="18"/>
      <c r="E348" s="18"/>
      <c r="F348" s="18"/>
      <c r="G348" s="277">
        <f>G349-3883</f>
        <v>1458</v>
      </c>
      <c r="H348" s="177"/>
      <c r="I348" s="177"/>
      <c r="J348" s="177"/>
      <c r="K348" s="177"/>
      <c r="L348" s="278">
        <f>L349-3883</f>
        <v>1458</v>
      </c>
      <c r="M348" s="15" t="s">
        <v>16</v>
      </c>
      <c r="N348" s="33"/>
    </row>
    <row r="349" spans="1:14" s="56" customFormat="1" ht="21.75" customHeight="1">
      <c r="A349" s="66"/>
      <c r="B349" s="26" t="s">
        <v>9</v>
      </c>
      <c r="C349" s="75">
        <f>C352+C359+C365</f>
        <v>12817</v>
      </c>
      <c r="D349" s="75">
        <f aca="true" t="shared" si="42" ref="D349:M349">D352+D359+D365</f>
        <v>12817</v>
      </c>
      <c r="E349" s="75">
        <f t="shared" si="42"/>
        <v>2922</v>
      </c>
      <c r="F349" s="75">
        <f t="shared" si="42"/>
        <v>9895</v>
      </c>
      <c r="G349" s="377">
        <f t="shared" si="42"/>
        <v>5341</v>
      </c>
      <c r="H349" s="75">
        <f t="shared" si="42"/>
        <v>0</v>
      </c>
      <c r="I349" s="75">
        <f t="shared" si="42"/>
        <v>0</v>
      </c>
      <c r="J349" s="75">
        <f t="shared" si="42"/>
        <v>0</v>
      </c>
      <c r="K349" s="75">
        <f t="shared" si="42"/>
        <v>0</v>
      </c>
      <c r="L349" s="75">
        <f t="shared" si="42"/>
        <v>5341</v>
      </c>
      <c r="M349" s="75">
        <f t="shared" si="42"/>
        <v>0</v>
      </c>
      <c r="N349" s="33"/>
    </row>
    <row r="350" spans="1:14" s="56" customFormat="1" ht="21.75" customHeight="1">
      <c r="A350" s="66"/>
      <c r="B350" s="34"/>
      <c r="C350" s="75">
        <f>C353+C360+C366</f>
        <v>0</v>
      </c>
      <c r="D350" s="75">
        <f aca="true" t="shared" si="43" ref="D350:M350">D353+D360+D366</f>
        <v>0</v>
      </c>
      <c r="E350" s="75">
        <f t="shared" si="43"/>
        <v>0</v>
      </c>
      <c r="F350" s="75">
        <f t="shared" si="43"/>
        <v>0</v>
      </c>
      <c r="G350" s="377">
        <f t="shared" si="43"/>
        <v>0</v>
      </c>
      <c r="H350" s="75">
        <f t="shared" si="43"/>
        <v>0</v>
      </c>
      <c r="I350" s="75">
        <f t="shared" si="43"/>
        <v>0</v>
      </c>
      <c r="J350" s="75">
        <f t="shared" si="43"/>
        <v>0</v>
      </c>
      <c r="K350" s="75">
        <f t="shared" si="43"/>
        <v>0</v>
      </c>
      <c r="L350" s="75">
        <f t="shared" si="43"/>
        <v>0</v>
      </c>
      <c r="M350" s="75">
        <f t="shared" si="43"/>
        <v>0</v>
      </c>
      <c r="N350" s="33"/>
    </row>
    <row r="351" spans="1:14" s="56" customFormat="1" ht="18.75" customHeight="1">
      <c r="A351" s="66"/>
      <c r="B351" s="34"/>
      <c r="C351" s="68"/>
      <c r="D351" s="68"/>
      <c r="E351" s="68"/>
      <c r="F351" s="68"/>
      <c r="G351" s="249"/>
      <c r="H351" s="68"/>
      <c r="I351" s="68"/>
      <c r="J351" s="68"/>
      <c r="K351" s="68"/>
      <c r="L351" s="68"/>
      <c r="M351" s="68"/>
      <c r="N351" s="33"/>
    </row>
    <row r="352" spans="1:14" s="56" customFormat="1" ht="24" customHeight="1">
      <c r="A352" s="66" t="s">
        <v>52</v>
      </c>
      <c r="B352" s="47" t="s">
        <v>10</v>
      </c>
      <c r="C352" s="72">
        <f>C356</f>
        <v>0</v>
      </c>
      <c r="D352" s="67">
        <f aca="true" t="shared" si="44" ref="D352:M352">D356</f>
        <v>0</v>
      </c>
      <c r="E352" s="67">
        <f t="shared" si="44"/>
        <v>0</v>
      </c>
      <c r="F352" s="67">
        <f t="shared" si="44"/>
        <v>0</v>
      </c>
      <c r="G352" s="377">
        <f>SUM(H352:M352)</f>
        <v>0</v>
      </c>
      <c r="H352" s="67">
        <f t="shared" si="44"/>
        <v>0</v>
      </c>
      <c r="I352" s="67">
        <f t="shared" si="44"/>
        <v>0</v>
      </c>
      <c r="J352" s="67">
        <f t="shared" si="44"/>
        <v>0</v>
      </c>
      <c r="K352" s="67">
        <f t="shared" si="44"/>
        <v>0</v>
      </c>
      <c r="L352" s="67">
        <f t="shared" si="44"/>
        <v>0</v>
      </c>
      <c r="M352" s="67">
        <f t="shared" si="44"/>
        <v>0</v>
      </c>
      <c r="N352" s="33"/>
    </row>
    <row r="353" spans="1:14" s="56" customFormat="1" ht="24" customHeight="1">
      <c r="A353" s="66"/>
      <c r="B353" s="48" t="s">
        <v>3</v>
      </c>
      <c r="C353" s="72">
        <f>C357</f>
        <v>0</v>
      </c>
      <c r="D353" s="67">
        <f aca="true" t="shared" si="45" ref="D353:M353">D357</f>
        <v>0</v>
      </c>
      <c r="E353" s="67">
        <f t="shared" si="45"/>
        <v>0</v>
      </c>
      <c r="F353" s="67">
        <f t="shared" si="45"/>
        <v>0</v>
      </c>
      <c r="G353" s="377">
        <f>SUM(H353:M353)</f>
        <v>0</v>
      </c>
      <c r="H353" s="67">
        <f t="shared" si="45"/>
        <v>0</v>
      </c>
      <c r="I353" s="67">
        <f t="shared" si="45"/>
        <v>0</v>
      </c>
      <c r="J353" s="67">
        <f t="shared" si="45"/>
        <v>0</v>
      </c>
      <c r="K353" s="67">
        <f t="shared" si="45"/>
        <v>0</v>
      </c>
      <c r="L353" s="67">
        <f t="shared" si="45"/>
        <v>0</v>
      </c>
      <c r="M353" s="67">
        <f t="shared" si="45"/>
        <v>0</v>
      </c>
      <c r="N353" s="33"/>
    </row>
    <row r="354" spans="1:14" s="56" customFormat="1" ht="15">
      <c r="A354" s="66"/>
      <c r="B354" s="43" t="s">
        <v>13</v>
      </c>
      <c r="C354" s="68"/>
      <c r="D354" s="68"/>
      <c r="E354" s="68"/>
      <c r="F354" s="68"/>
      <c r="G354" s="249"/>
      <c r="H354" s="68"/>
      <c r="I354" s="68"/>
      <c r="J354" s="68"/>
      <c r="K354" s="68"/>
      <c r="L354" s="68"/>
      <c r="M354" s="68"/>
      <c r="N354" s="33"/>
    </row>
    <row r="355" spans="1:14" s="56" customFormat="1" ht="15">
      <c r="A355" s="66"/>
      <c r="B355" s="43"/>
      <c r="C355" s="68"/>
      <c r="D355" s="68"/>
      <c r="E355" s="68"/>
      <c r="F355" s="68"/>
      <c r="G355" s="249"/>
      <c r="H355" s="68"/>
      <c r="I355" s="68"/>
      <c r="J355" s="68"/>
      <c r="K355" s="68"/>
      <c r="L355" s="68"/>
      <c r="M355" s="68"/>
      <c r="N355" s="33"/>
    </row>
    <row r="356" spans="1:14" s="56" customFormat="1" ht="15" hidden="1">
      <c r="A356" s="66">
        <v>1</v>
      </c>
      <c r="B356" s="172"/>
      <c r="C356" s="11">
        <v>0</v>
      </c>
      <c r="D356" s="11">
        <v>0</v>
      </c>
      <c r="E356" s="11">
        <v>0</v>
      </c>
      <c r="F356" s="11">
        <f>D356-E356</f>
        <v>0</v>
      </c>
      <c r="G356" s="75">
        <f>SUM(H356:M356)</f>
        <v>0</v>
      </c>
      <c r="H356" s="11"/>
      <c r="I356" s="11"/>
      <c r="J356" s="11"/>
      <c r="K356" s="11">
        <v>0</v>
      </c>
      <c r="L356" s="11">
        <v>0</v>
      </c>
      <c r="M356" s="57"/>
      <c r="N356" s="33"/>
    </row>
    <row r="357" spans="1:14" s="56" customFormat="1" ht="15" hidden="1">
      <c r="A357" s="66"/>
      <c r="B357" s="172"/>
      <c r="C357" s="11">
        <v>0</v>
      </c>
      <c r="D357" s="11">
        <v>0</v>
      </c>
      <c r="E357" s="11">
        <v>0</v>
      </c>
      <c r="F357" s="11">
        <f>D357-E357</f>
        <v>0</v>
      </c>
      <c r="G357" s="75">
        <f>SUM(H357:M357)</f>
        <v>0</v>
      </c>
      <c r="H357" s="11"/>
      <c r="I357" s="11"/>
      <c r="J357" s="11"/>
      <c r="K357" s="11">
        <v>0</v>
      </c>
      <c r="L357" s="11">
        <v>0</v>
      </c>
      <c r="M357" s="57"/>
      <c r="N357" s="33"/>
    </row>
    <row r="358" spans="1:14" s="56" customFormat="1" ht="20.25" customHeight="1">
      <c r="A358" s="66"/>
      <c r="B358" s="172"/>
      <c r="C358" s="10"/>
      <c r="D358" s="10"/>
      <c r="E358" s="10"/>
      <c r="F358" s="10"/>
      <c r="G358" s="249"/>
      <c r="H358" s="10"/>
      <c r="I358" s="10"/>
      <c r="J358" s="10"/>
      <c r="K358" s="10"/>
      <c r="L358" s="10"/>
      <c r="M358" s="46"/>
      <c r="N358" s="33"/>
    </row>
    <row r="359" spans="1:14" s="56" customFormat="1" ht="21.75" customHeight="1">
      <c r="A359" s="17" t="s">
        <v>4</v>
      </c>
      <c r="B359" s="47" t="s">
        <v>10</v>
      </c>
      <c r="C359" s="72">
        <f aca="true" t="shared" si="46" ref="C359:M359">C362</f>
        <v>0</v>
      </c>
      <c r="D359" s="72">
        <f t="shared" si="46"/>
        <v>0</v>
      </c>
      <c r="E359" s="72">
        <f t="shared" si="46"/>
        <v>0</v>
      </c>
      <c r="F359" s="72">
        <f t="shared" si="46"/>
        <v>0</v>
      </c>
      <c r="G359" s="379">
        <f>SUM(H359:M359)</f>
        <v>0</v>
      </c>
      <c r="H359" s="72">
        <f t="shared" si="46"/>
        <v>0</v>
      </c>
      <c r="I359" s="72">
        <f t="shared" si="46"/>
        <v>0</v>
      </c>
      <c r="J359" s="72">
        <f t="shared" si="46"/>
        <v>0</v>
      </c>
      <c r="K359" s="72">
        <f t="shared" si="46"/>
        <v>0</v>
      </c>
      <c r="L359" s="72">
        <f t="shared" si="46"/>
        <v>0</v>
      </c>
      <c r="M359" s="72">
        <f t="shared" si="46"/>
        <v>0</v>
      </c>
      <c r="N359" s="33"/>
    </row>
    <row r="360" spans="1:14" s="56" customFormat="1" ht="21.75" customHeight="1">
      <c r="A360" s="66"/>
      <c r="B360" s="48" t="s">
        <v>5</v>
      </c>
      <c r="C360" s="72">
        <f aca="true" t="shared" si="47" ref="C360:M360">C363</f>
        <v>0</v>
      </c>
      <c r="D360" s="72">
        <f t="shared" si="47"/>
        <v>0</v>
      </c>
      <c r="E360" s="72">
        <f t="shared" si="47"/>
        <v>0</v>
      </c>
      <c r="F360" s="72">
        <f t="shared" si="47"/>
        <v>0</v>
      </c>
      <c r="G360" s="379">
        <f>SUM(H360:M360)</f>
        <v>0</v>
      </c>
      <c r="H360" s="72">
        <f t="shared" si="47"/>
        <v>0</v>
      </c>
      <c r="I360" s="72">
        <f t="shared" si="47"/>
        <v>0</v>
      </c>
      <c r="J360" s="72">
        <f t="shared" si="47"/>
        <v>0</v>
      </c>
      <c r="K360" s="72">
        <f t="shared" si="47"/>
        <v>0</v>
      </c>
      <c r="L360" s="72">
        <f t="shared" si="47"/>
        <v>0</v>
      </c>
      <c r="M360" s="72">
        <f t="shared" si="47"/>
        <v>0</v>
      </c>
      <c r="N360" s="33"/>
    </row>
    <row r="361" spans="1:14" s="56" customFormat="1" ht="15.75" customHeight="1">
      <c r="A361" s="66"/>
      <c r="B361" s="43"/>
      <c r="C361" s="68"/>
      <c r="D361" s="68"/>
      <c r="E361" s="68"/>
      <c r="F361" s="68"/>
      <c r="G361" s="249"/>
      <c r="H361" s="68"/>
      <c r="I361" s="68"/>
      <c r="J361" s="68"/>
      <c r="K361" s="68"/>
      <c r="L361" s="68"/>
      <c r="M361" s="68"/>
      <c r="N361" s="33"/>
    </row>
    <row r="362" spans="1:14" s="56" customFormat="1" ht="16.5" customHeight="1" hidden="1">
      <c r="A362" s="66">
        <v>1</v>
      </c>
      <c r="B362" s="81"/>
      <c r="C362" s="67">
        <v>0</v>
      </c>
      <c r="D362" s="67">
        <v>0</v>
      </c>
      <c r="E362" s="67">
        <v>0</v>
      </c>
      <c r="F362" s="11">
        <f>D362-E362</f>
        <v>0</v>
      </c>
      <c r="G362" s="75">
        <f>SUM(H362:M362)</f>
        <v>0</v>
      </c>
      <c r="H362" s="67"/>
      <c r="I362" s="67"/>
      <c r="J362" s="67"/>
      <c r="K362" s="67"/>
      <c r="L362" s="67">
        <v>0</v>
      </c>
      <c r="M362" s="67"/>
      <c r="N362" s="33"/>
    </row>
    <row r="363" spans="1:14" s="56" customFormat="1" ht="15" hidden="1">
      <c r="A363" s="66"/>
      <c r="B363" s="43"/>
      <c r="C363" s="67">
        <v>0</v>
      </c>
      <c r="D363" s="67">
        <v>0</v>
      </c>
      <c r="E363" s="67">
        <v>0</v>
      </c>
      <c r="F363" s="11">
        <f>D363-E363</f>
        <v>0</v>
      </c>
      <c r="G363" s="75">
        <f>SUM(H363:M363)</f>
        <v>0</v>
      </c>
      <c r="H363" s="67"/>
      <c r="I363" s="67"/>
      <c r="J363" s="67"/>
      <c r="K363" s="67"/>
      <c r="L363" s="67">
        <v>0</v>
      </c>
      <c r="M363" s="67"/>
      <c r="N363" s="33"/>
    </row>
    <row r="364" spans="1:14" s="56" customFormat="1" ht="15">
      <c r="A364" s="66"/>
      <c r="B364" s="43"/>
      <c r="C364" s="68"/>
      <c r="D364" s="68"/>
      <c r="E364" s="68"/>
      <c r="F364" s="68"/>
      <c r="G364" s="249"/>
      <c r="H364" s="68"/>
      <c r="I364" s="68"/>
      <c r="J364" s="68"/>
      <c r="K364" s="68"/>
      <c r="L364" s="68"/>
      <c r="M364" s="68"/>
      <c r="N364" s="33"/>
    </row>
    <row r="365" spans="1:14" s="56" customFormat="1" ht="23.25" customHeight="1">
      <c r="A365" s="66" t="s">
        <v>6</v>
      </c>
      <c r="B365" s="47" t="s">
        <v>91</v>
      </c>
      <c r="C365" s="72">
        <f>C368+C369</f>
        <v>12817</v>
      </c>
      <c r="D365" s="72">
        <f aca="true" t="shared" si="48" ref="D365:M365">D368+D369</f>
        <v>12817</v>
      </c>
      <c r="E365" s="72">
        <f t="shared" si="48"/>
        <v>2922</v>
      </c>
      <c r="F365" s="72">
        <f t="shared" si="48"/>
        <v>9895</v>
      </c>
      <c r="G365" s="379">
        <f t="shared" si="48"/>
        <v>5341</v>
      </c>
      <c r="H365" s="72">
        <f t="shared" si="48"/>
        <v>0</v>
      </c>
      <c r="I365" s="72">
        <f t="shared" si="48"/>
        <v>0</v>
      </c>
      <c r="J365" s="72">
        <f t="shared" si="48"/>
        <v>0</v>
      </c>
      <c r="K365" s="72">
        <f t="shared" si="48"/>
        <v>0</v>
      </c>
      <c r="L365" s="72">
        <f t="shared" si="48"/>
        <v>5341</v>
      </c>
      <c r="M365" s="72">
        <f t="shared" si="48"/>
        <v>0</v>
      </c>
      <c r="N365" s="33"/>
    </row>
    <row r="366" spans="1:14" s="56" customFormat="1" ht="23.25" customHeight="1">
      <c r="A366" s="66"/>
      <c r="B366" s="48" t="s">
        <v>12</v>
      </c>
      <c r="C366" s="68"/>
      <c r="D366" s="68"/>
      <c r="E366" s="68"/>
      <c r="F366" s="68"/>
      <c r="G366" s="249"/>
      <c r="H366" s="68"/>
      <c r="I366" s="68"/>
      <c r="J366" s="68"/>
      <c r="K366" s="68"/>
      <c r="L366" s="68"/>
      <c r="M366" s="68"/>
      <c r="N366" s="70"/>
    </row>
    <row r="367" spans="1:14" s="56" customFormat="1" ht="23.25" customHeight="1">
      <c r="A367" s="66"/>
      <c r="B367" s="26" t="s">
        <v>9</v>
      </c>
      <c r="C367" s="73"/>
      <c r="D367" s="73"/>
      <c r="E367" s="73"/>
      <c r="F367" s="73"/>
      <c r="G367" s="363"/>
      <c r="H367" s="73"/>
      <c r="I367" s="73"/>
      <c r="J367" s="73"/>
      <c r="K367" s="73"/>
      <c r="L367" s="73"/>
      <c r="M367" s="73"/>
      <c r="N367" s="71"/>
    </row>
    <row r="368" spans="1:14" s="56" customFormat="1" ht="23.25" customHeight="1">
      <c r="A368" s="66"/>
      <c r="B368" s="34" t="s">
        <v>0</v>
      </c>
      <c r="C368" s="83">
        <f>'Studii si proiecte 2022'!D215</f>
        <v>12817</v>
      </c>
      <c r="D368" s="83">
        <f>'Studii si proiecte 2022'!E215</f>
        <v>12817</v>
      </c>
      <c r="E368" s="83">
        <f>'Studii si proiecte 2022'!F215</f>
        <v>2922</v>
      </c>
      <c r="F368" s="83">
        <f>'Studii si proiecte 2022'!G215</f>
        <v>9895</v>
      </c>
      <c r="G368" s="380">
        <f>'Studii si proiecte 2022'!H215</f>
        <v>5341</v>
      </c>
      <c r="H368" s="83">
        <f>'Studii si proiecte 2022'!I215</f>
        <v>0</v>
      </c>
      <c r="I368" s="83">
        <f>'Studii si proiecte 2022'!J215</f>
        <v>0</v>
      </c>
      <c r="J368" s="83">
        <f>'Studii si proiecte 2022'!K215</f>
        <v>0</v>
      </c>
      <c r="K368" s="83">
        <f>'Studii si proiecte 2022'!L215</f>
        <v>0</v>
      </c>
      <c r="L368" s="83">
        <f>'Studii si proiecte 2022'!M215</f>
        <v>5341</v>
      </c>
      <c r="M368" s="83">
        <f>'Studii si proiecte 2022'!N215</f>
        <v>0</v>
      </c>
      <c r="N368" s="71"/>
    </row>
    <row r="369" spans="1:14" s="56" customFormat="1" ht="23.25" customHeight="1">
      <c r="A369" s="58"/>
      <c r="B369" s="34" t="s">
        <v>24</v>
      </c>
      <c r="C369" s="63">
        <f>'Dotari 2022'!D81</f>
        <v>0</v>
      </c>
      <c r="D369" s="63">
        <f>'Dotari 2022'!E81</f>
        <v>0</v>
      </c>
      <c r="E369" s="63">
        <f>'Dotari 2022'!F81</f>
        <v>0</v>
      </c>
      <c r="F369" s="63">
        <f>'Dotari 2022'!G81</f>
        <v>0</v>
      </c>
      <c r="G369" s="375">
        <f>'Dotari 2022'!H81</f>
        <v>0</v>
      </c>
      <c r="H369" s="63">
        <f>'Dotari 2022'!I81</f>
        <v>0</v>
      </c>
      <c r="I369" s="63">
        <f>'Dotari 2022'!J81</f>
        <v>0</v>
      </c>
      <c r="J369" s="63">
        <f>'Dotari 2022'!K81</f>
        <v>0</v>
      </c>
      <c r="K369" s="63">
        <f>'Dotari 2022'!L81</f>
        <v>0</v>
      </c>
      <c r="L369" s="63">
        <f>'Dotari 2022'!M81</f>
        <v>0</v>
      </c>
      <c r="M369" s="63">
        <f>'Dotari 2022'!N81</f>
        <v>0</v>
      </c>
      <c r="N369" s="71"/>
    </row>
    <row r="370" spans="1:14" s="56" customFormat="1" ht="12.75" customHeight="1">
      <c r="A370" s="58"/>
      <c r="B370" s="34"/>
      <c r="C370" s="63"/>
      <c r="D370" s="63"/>
      <c r="E370" s="63"/>
      <c r="F370" s="63"/>
      <c r="G370" s="76"/>
      <c r="H370" s="63"/>
      <c r="I370" s="63"/>
      <c r="J370" s="63"/>
      <c r="K370" s="63"/>
      <c r="L370" s="63"/>
      <c r="M370" s="63"/>
      <c r="N370" s="71"/>
    </row>
    <row r="371" spans="1:14" s="56" customFormat="1" ht="12.75" customHeight="1">
      <c r="A371" s="58"/>
      <c r="B371" s="34"/>
      <c r="C371" s="63"/>
      <c r="D371" s="63"/>
      <c r="E371" s="63"/>
      <c r="F371" s="63"/>
      <c r="G371" s="76"/>
      <c r="H371" s="63"/>
      <c r="I371" s="63"/>
      <c r="J371" s="63"/>
      <c r="K371" s="63"/>
      <c r="L371" s="63"/>
      <c r="M371" s="63"/>
      <c r="N371" s="71"/>
    </row>
    <row r="372" spans="1:14" s="56" customFormat="1" ht="17.25" customHeight="1">
      <c r="A372" s="58"/>
      <c r="B372" s="34"/>
      <c r="C372" s="63"/>
      <c r="D372" s="63"/>
      <c r="E372" s="63"/>
      <c r="F372" s="63"/>
      <c r="G372" s="76"/>
      <c r="H372" s="63"/>
      <c r="I372" s="63"/>
      <c r="J372" s="63"/>
      <c r="K372" s="63"/>
      <c r="L372" s="63"/>
      <c r="M372" s="63"/>
      <c r="N372" s="71"/>
    </row>
    <row r="373" spans="1:14" s="56" customFormat="1" ht="36.75" customHeight="1">
      <c r="A373" s="260"/>
      <c r="B373" s="170" t="s">
        <v>97</v>
      </c>
      <c r="C373" s="18" t="s">
        <v>98</v>
      </c>
      <c r="D373" s="18"/>
      <c r="E373" s="18"/>
      <c r="F373" s="18"/>
      <c r="G373" s="18"/>
      <c r="H373" s="15"/>
      <c r="I373" s="15"/>
      <c r="J373" s="15"/>
      <c r="K373" s="15"/>
      <c r="L373" s="65"/>
      <c r="M373" s="15" t="s">
        <v>16</v>
      </c>
      <c r="N373" s="33"/>
    </row>
    <row r="374" spans="1:14" s="56" customFormat="1" ht="26.25" customHeight="1">
      <c r="A374" s="66"/>
      <c r="B374" s="26" t="s">
        <v>9</v>
      </c>
      <c r="C374" s="75">
        <f aca="true" t="shared" si="49" ref="C374:M374">C377+C385+C391</f>
        <v>14619</v>
      </c>
      <c r="D374" s="75">
        <f t="shared" si="49"/>
        <v>17202</v>
      </c>
      <c r="E374" s="75">
        <f t="shared" si="49"/>
        <v>4266</v>
      </c>
      <c r="F374" s="75">
        <f t="shared" si="49"/>
        <v>12936</v>
      </c>
      <c r="G374" s="377">
        <f t="shared" si="49"/>
        <v>14195</v>
      </c>
      <c r="H374" s="75">
        <f t="shared" si="49"/>
        <v>0</v>
      </c>
      <c r="I374" s="75">
        <f t="shared" si="49"/>
        <v>0</v>
      </c>
      <c r="J374" s="75">
        <f t="shared" si="49"/>
        <v>14186</v>
      </c>
      <c r="K374" s="75">
        <f t="shared" si="49"/>
        <v>0</v>
      </c>
      <c r="L374" s="75">
        <f t="shared" si="49"/>
        <v>9</v>
      </c>
      <c r="M374" s="75">
        <f t="shared" si="49"/>
        <v>0</v>
      </c>
      <c r="N374" s="33"/>
    </row>
    <row r="375" spans="1:14" s="56" customFormat="1" ht="21" customHeight="1">
      <c r="A375" s="66"/>
      <c r="B375" s="34"/>
      <c r="C375" s="75">
        <f aca="true" t="shared" si="50" ref="C375:M375">C378+C386+C392</f>
        <v>9311</v>
      </c>
      <c r="D375" s="75">
        <f t="shared" si="50"/>
        <v>13082</v>
      </c>
      <c r="E375" s="75">
        <f t="shared" si="50"/>
        <v>4132</v>
      </c>
      <c r="F375" s="75">
        <f t="shared" si="50"/>
        <v>8950</v>
      </c>
      <c r="G375" s="377">
        <f t="shared" si="50"/>
        <v>8950</v>
      </c>
      <c r="H375" s="75">
        <f t="shared" si="50"/>
        <v>0</v>
      </c>
      <c r="I375" s="75">
        <f t="shared" si="50"/>
        <v>0</v>
      </c>
      <c r="J375" s="75">
        <f t="shared" si="50"/>
        <v>8950</v>
      </c>
      <c r="K375" s="75">
        <f t="shared" si="50"/>
        <v>0</v>
      </c>
      <c r="L375" s="75">
        <f t="shared" si="50"/>
        <v>0</v>
      </c>
      <c r="M375" s="75">
        <f t="shared" si="50"/>
        <v>0</v>
      </c>
      <c r="N375" s="33"/>
    </row>
    <row r="376" spans="1:14" s="56" customFormat="1" ht="18.75" customHeight="1">
      <c r="A376" s="66"/>
      <c r="B376" s="34"/>
      <c r="C376" s="68"/>
      <c r="D376" s="68"/>
      <c r="E376" s="68"/>
      <c r="F376" s="68"/>
      <c r="G376" s="280">
        <f>G374-9223</f>
        <v>4972</v>
      </c>
      <c r="H376" s="280"/>
      <c r="I376" s="280"/>
      <c r="J376" s="280">
        <f>J374-9223</f>
        <v>4963</v>
      </c>
      <c r="K376" s="250"/>
      <c r="L376" s="250"/>
      <c r="M376" s="250"/>
      <c r="N376" s="33"/>
    </row>
    <row r="377" spans="1:14" s="56" customFormat="1" ht="18" customHeight="1">
      <c r="A377" s="66" t="s">
        <v>52</v>
      </c>
      <c r="B377" s="47" t="s">
        <v>10</v>
      </c>
      <c r="C377" s="72">
        <f>C381</f>
        <v>13029</v>
      </c>
      <c r="D377" s="72">
        <f aca="true" t="shared" si="51" ref="D377:M377">D381</f>
        <v>15612</v>
      </c>
      <c r="E377" s="72">
        <f t="shared" si="51"/>
        <v>4266</v>
      </c>
      <c r="F377" s="72">
        <f t="shared" si="51"/>
        <v>11346</v>
      </c>
      <c r="G377" s="379">
        <f t="shared" si="51"/>
        <v>12605</v>
      </c>
      <c r="H377" s="72">
        <f t="shared" si="51"/>
        <v>0</v>
      </c>
      <c r="I377" s="72">
        <f t="shared" si="51"/>
        <v>0</v>
      </c>
      <c r="J377" s="72">
        <f t="shared" si="51"/>
        <v>12605</v>
      </c>
      <c r="K377" s="72">
        <f t="shared" si="51"/>
        <v>0</v>
      </c>
      <c r="L377" s="72">
        <f t="shared" si="51"/>
        <v>0</v>
      </c>
      <c r="M377" s="72">
        <f t="shared" si="51"/>
        <v>0</v>
      </c>
      <c r="N377" s="33"/>
    </row>
    <row r="378" spans="1:14" s="56" customFormat="1" ht="18" customHeight="1">
      <c r="A378" s="66"/>
      <c r="B378" s="48" t="s">
        <v>3</v>
      </c>
      <c r="C378" s="72">
        <f>C382</f>
        <v>9311</v>
      </c>
      <c r="D378" s="72">
        <f aca="true" t="shared" si="52" ref="D378:M378">D382</f>
        <v>13082</v>
      </c>
      <c r="E378" s="72">
        <f t="shared" si="52"/>
        <v>4132</v>
      </c>
      <c r="F378" s="72">
        <f t="shared" si="52"/>
        <v>8950</v>
      </c>
      <c r="G378" s="379">
        <f t="shared" si="52"/>
        <v>8950</v>
      </c>
      <c r="H378" s="72">
        <f t="shared" si="52"/>
        <v>0</v>
      </c>
      <c r="I378" s="72">
        <f t="shared" si="52"/>
        <v>0</v>
      </c>
      <c r="J378" s="72">
        <f t="shared" si="52"/>
        <v>8950</v>
      </c>
      <c r="K378" s="72">
        <f t="shared" si="52"/>
        <v>0</v>
      </c>
      <c r="L378" s="72">
        <f t="shared" si="52"/>
        <v>0</v>
      </c>
      <c r="M378" s="72">
        <f t="shared" si="52"/>
        <v>0</v>
      </c>
      <c r="N378" s="33"/>
    </row>
    <row r="379" spans="1:14" s="56" customFormat="1" ht="17.25" customHeight="1">
      <c r="A379" s="66"/>
      <c r="B379" s="43" t="s">
        <v>13</v>
      </c>
      <c r="C379" s="68"/>
      <c r="D379" s="68"/>
      <c r="E379" s="68"/>
      <c r="F379" s="68"/>
      <c r="G379" s="249"/>
      <c r="H379" s="68"/>
      <c r="I379" s="68"/>
      <c r="J379" s="68"/>
      <c r="K379" s="68"/>
      <c r="L379" s="68"/>
      <c r="M379" s="68"/>
      <c r="N379" s="33"/>
    </row>
    <row r="380" spans="1:14" s="56" customFormat="1" ht="17.25" customHeight="1">
      <c r="A380" s="66"/>
      <c r="B380" s="43"/>
      <c r="C380" s="68"/>
      <c r="D380" s="68"/>
      <c r="E380" s="68"/>
      <c r="F380" s="68"/>
      <c r="G380" s="249"/>
      <c r="H380" s="68"/>
      <c r="I380" s="68"/>
      <c r="J380" s="68"/>
      <c r="K380" s="68"/>
      <c r="L380" s="68"/>
      <c r="M380" s="68"/>
      <c r="N380" s="33"/>
    </row>
    <row r="381" spans="1:14" s="56" customFormat="1" ht="21" customHeight="1">
      <c r="A381" s="69">
        <v>1</v>
      </c>
      <c r="B381" s="232" t="s">
        <v>298</v>
      </c>
      <c r="C381" s="304">
        <v>13029</v>
      </c>
      <c r="D381" s="304">
        <f>14960+652</f>
        <v>15612</v>
      </c>
      <c r="E381" s="304">
        <f>4+4262</f>
        <v>4266</v>
      </c>
      <c r="F381" s="304">
        <f>D381-E381</f>
        <v>11346</v>
      </c>
      <c r="G381" s="377">
        <f>SUM(H381:M381)</f>
        <v>12605</v>
      </c>
      <c r="H381" s="304"/>
      <c r="I381" s="304"/>
      <c r="J381" s="304">
        <v>12605</v>
      </c>
      <c r="K381" s="304"/>
      <c r="L381" s="304">
        <v>0</v>
      </c>
      <c r="M381" s="335"/>
      <c r="N381" s="305" t="s">
        <v>35</v>
      </c>
    </row>
    <row r="382" spans="1:14" s="56" customFormat="1" ht="21" customHeight="1">
      <c r="A382" s="69"/>
      <c r="B382" s="197" t="s">
        <v>161</v>
      </c>
      <c r="C382" s="304">
        <v>9311</v>
      </c>
      <c r="D382" s="304">
        <f>9281+923+2036+842</f>
        <v>13082</v>
      </c>
      <c r="E382" s="304">
        <f>4132</f>
        <v>4132</v>
      </c>
      <c r="F382" s="304">
        <f>D382-E382</f>
        <v>8950</v>
      </c>
      <c r="G382" s="377">
        <f>SUM(H382:M382)</f>
        <v>8950</v>
      </c>
      <c r="H382" s="304"/>
      <c r="I382" s="304"/>
      <c r="J382" s="304">
        <v>8950</v>
      </c>
      <c r="K382" s="304"/>
      <c r="L382" s="339">
        <v>0</v>
      </c>
      <c r="M382" s="335"/>
      <c r="N382" s="340"/>
    </row>
    <row r="383" spans="1:14" s="56" customFormat="1" ht="17.25" customHeight="1">
      <c r="A383" s="66"/>
      <c r="B383" s="43"/>
      <c r="C383" s="68"/>
      <c r="D383" s="68"/>
      <c r="E383" s="68"/>
      <c r="F383" s="68"/>
      <c r="G383" s="249"/>
      <c r="H383" s="68"/>
      <c r="I383" s="68"/>
      <c r="J383" s="68"/>
      <c r="K383" s="68"/>
      <c r="L383" s="68"/>
      <c r="M383" s="68"/>
      <c r="N383" s="33"/>
    </row>
    <row r="384" spans="1:14" s="56" customFormat="1" ht="11.25" customHeight="1">
      <c r="A384" s="66"/>
      <c r="B384" s="172"/>
      <c r="C384" s="10"/>
      <c r="D384" s="10"/>
      <c r="E384" s="10"/>
      <c r="F384" s="10"/>
      <c r="G384" s="249"/>
      <c r="H384" s="10"/>
      <c r="I384" s="10"/>
      <c r="J384" s="10"/>
      <c r="K384" s="10"/>
      <c r="L384" s="10"/>
      <c r="M384" s="46"/>
      <c r="N384" s="33"/>
    </row>
    <row r="385" spans="1:14" s="56" customFormat="1" ht="18" customHeight="1">
      <c r="A385" s="17" t="s">
        <v>4</v>
      </c>
      <c r="B385" s="47" t="s">
        <v>10</v>
      </c>
      <c r="C385" s="67"/>
      <c r="D385" s="67"/>
      <c r="E385" s="67"/>
      <c r="F385" s="67"/>
      <c r="G385" s="377"/>
      <c r="H385" s="67"/>
      <c r="I385" s="67"/>
      <c r="J385" s="67"/>
      <c r="K385" s="67"/>
      <c r="L385" s="67"/>
      <c r="M385" s="67"/>
      <c r="N385" s="33"/>
    </row>
    <row r="386" spans="1:14" s="56" customFormat="1" ht="18" customHeight="1">
      <c r="A386" s="66"/>
      <c r="B386" s="48" t="s">
        <v>5</v>
      </c>
      <c r="C386" s="67"/>
      <c r="D386" s="67"/>
      <c r="E386" s="67"/>
      <c r="F386" s="67"/>
      <c r="G386" s="377"/>
      <c r="H386" s="67"/>
      <c r="I386" s="67"/>
      <c r="J386" s="67"/>
      <c r="K386" s="67"/>
      <c r="L386" s="67"/>
      <c r="M386" s="67"/>
      <c r="N386" s="33"/>
    </row>
    <row r="387" spans="1:14" s="56" customFormat="1" ht="12.75" customHeight="1">
      <c r="A387" s="66"/>
      <c r="B387" s="43"/>
      <c r="C387" s="68"/>
      <c r="D387" s="68"/>
      <c r="E387" s="68"/>
      <c r="F387" s="68"/>
      <c r="G387" s="249"/>
      <c r="H387" s="68"/>
      <c r="I387" s="68"/>
      <c r="J387" s="68"/>
      <c r="K387" s="68"/>
      <c r="L387" s="68"/>
      <c r="M387" s="68"/>
      <c r="N387" s="33"/>
    </row>
    <row r="388" spans="1:14" s="56" customFormat="1" ht="14.25" customHeight="1">
      <c r="A388" s="66"/>
      <c r="B388" s="43"/>
      <c r="C388" s="68"/>
      <c r="D388" s="68"/>
      <c r="E388" s="68"/>
      <c r="F388" s="68"/>
      <c r="G388" s="249"/>
      <c r="H388" s="68"/>
      <c r="I388" s="68"/>
      <c r="J388" s="68"/>
      <c r="K388" s="68"/>
      <c r="L388" s="68"/>
      <c r="M388" s="68"/>
      <c r="N388" s="33"/>
    </row>
    <row r="389" spans="1:14" s="56" customFormat="1" ht="13.5" customHeight="1" hidden="1">
      <c r="A389" s="66">
        <v>1</v>
      </c>
      <c r="B389" s="81"/>
      <c r="C389" s="67">
        <v>0</v>
      </c>
      <c r="D389" s="67">
        <v>0</v>
      </c>
      <c r="E389" s="67">
        <v>0</v>
      </c>
      <c r="F389" s="11">
        <f>D389-E389</f>
        <v>0</v>
      </c>
      <c r="G389" s="75">
        <f>SUM(H389:M389)</f>
        <v>0</v>
      </c>
      <c r="H389" s="67"/>
      <c r="I389" s="67"/>
      <c r="J389" s="67"/>
      <c r="K389" s="67"/>
      <c r="L389" s="67">
        <v>0</v>
      </c>
      <c r="M389" s="67"/>
      <c r="N389" s="33"/>
    </row>
    <row r="390" spans="1:14" s="56" customFormat="1" ht="15" customHeight="1" hidden="1">
      <c r="A390" s="66"/>
      <c r="B390" s="43"/>
      <c r="C390" s="67">
        <v>0</v>
      </c>
      <c r="D390" s="67">
        <v>0</v>
      </c>
      <c r="E390" s="67">
        <v>0</v>
      </c>
      <c r="F390" s="11">
        <f>D390-E390</f>
        <v>0</v>
      </c>
      <c r="G390" s="75">
        <f>SUM(H390:M390)</f>
        <v>0</v>
      </c>
      <c r="H390" s="67"/>
      <c r="I390" s="67"/>
      <c r="J390" s="67"/>
      <c r="K390" s="67"/>
      <c r="L390" s="67">
        <v>0</v>
      </c>
      <c r="M390" s="67"/>
      <c r="N390" s="33"/>
    </row>
    <row r="391" spans="1:14" s="56" customFormat="1" ht="18" customHeight="1">
      <c r="A391" s="66" t="s">
        <v>6</v>
      </c>
      <c r="B391" s="47" t="s">
        <v>91</v>
      </c>
      <c r="C391" s="72">
        <f>C394+C395</f>
        <v>1590</v>
      </c>
      <c r="D391" s="72">
        <f aca="true" t="shared" si="53" ref="D391:M391">D394+D395</f>
        <v>1590</v>
      </c>
      <c r="E391" s="72">
        <f t="shared" si="53"/>
        <v>0</v>
      </c>
      <c r="F391" s="72">
        <f t="shared" si="53"/>
        <v>1590</v>
      </c>
      <c r="G391" s="379">
        <f t="shared" si="53"/>
        <v>1590</v>
      </c>
      <c r="H391" s="72">
        <f t="shared" si="53"/>
        <v>0</v>
      </c>
      <c r="I391" s="72">
        <f t="shared" si="53"/>
        <v>0</v>
      </c>
      <c r="J391" s="72">
        <f t="shared" si="53"/>
        <v>1581</v>
      </c>
      <c r="K391" s="72">
        <f t="shared" si="53"/>
        <v>0</v>
      </c>
      <c r="L391" s="72">
        <f t="shared" si="53"/>
        <v>9</v>
      </c>
      <c r="M391" s="72">
        <f t="shared" si="53"/>
        <v>0</v>
      </c>
      <c r="N391" s="33"/>
    </row>
    <row r="392" spans="1:14" s="56" customFormat="1" ht="18" customHeight="1">
      <c r="A392" s="66"/>
      <c r="B392" s="48" t="s">
        <v>12</v>
      </c>
      <c r="C392" s="68"/>
      <c r="D392" s="68"/>
      <c r="E392" s="68"/>
      <c r="F392" s="68"/>
      <c r="G392" s="249"/>
      <c r="H392" s="68"/>
      <c r="I392" s="68"/>
      <c r="J392" s="68"/>
      <c r="K392" s="68"/>
      <c r="L392" s="68"/>
      <c r="M392" s="68"/>
      <c r="N392" s="70"/>
    </row>
    <row r="393" spans="1:14" s="56" customFormat="1" ht="18" customHeight="1">
      <c r="A393" s="66"/>
      <c r="B393" s="26" t="s">
        <v>9</v>
      </c>
      <c r="C393" s="73"/>
      <c r="D393" s="73"/>
      <c r="E393" s="73"/>
      <c r="F393" s="73"/>
      <c r="G393" s="363"/>
      <c r="H393" s="73"/>
      <c r="I393" s="73"/>
      <c r="J393" s="73"/>
      <c r="K393" s="73"/>
      <c r="L393" s="73"/>
      <c r="M393" s="73"/>
      <c r="N393" s="71"/>
    </row>
    <row r="394" spans="1:14" s="56" customFormat="1" ht="18" customHeight="1">
      <c r="A394" s="66"/>
      <c r="B394" s="34" t="s">
        <v>0</v>
      </c>
      <c r="C394" s="73">
        <f>'Studii si proiecte 2022'!D221</f>
        <v>9</v>
      </c>
      <c r="D394" s="73">
        <f>'Studii si proiecte 2022'!E221</f>
        <v>9</v>
      </c>
      <c r="E394" s="73">
        <f>'Studii si proiecte 2022'!F221</f>
        <v>0</v>
      </c>
      <c r="F394" s="73">
        <f>'Studii si proiecte 2022'!G221</f>
        <v>9</v>
      </c>
      <c r="G394" s="378">
        <f>'Studii si proiecte 2022'!H221</f>
        <v>9</v>
      </c>
      <c r="H394" s="73">
        <f>'Studii si proiecte 2022'!I221</f>
        <v>0</v>
      </c>
      <c r="I394" s="73">
        <f>'Studii si proiecte 2022'!J221</f>
        <v>0</v>
      </c>
      <c r="J394" s="73">
        <f>'Studii si proiecte 2022'!K221</f>
        <v>0</v>
      </c>
      <c r="K394" s="73">
        <f>'Studii si proiecte 2022'!L221</f>
        <v>0</v>
      </c>
      <c r="L394" s="73">
        <f>'Studii si proiecte 2022'!M221</f>
        <v>9</v>
      </c>
      <c r="M394" s="73">
        <f>'Studii si proiecte 2022'!N221</f>
        <v>0</v>
      </c>
      <c r="N394" s="71"/>
    </row>
    <row r="395" spans="1:14" s="56" customFormat="1" ht="18" customHeight="1">
      <c r="A395" s="58"/>
      <c r="B395" s="34" t="s">
        <v>24</v>
      </c>
      <c r="C395" s="63">
        <f>'Dotari 2022'!D87</f>
        <v>1581</v>
      </c>
      <c r="D395" s="63">
        <f>'Dotari 2022'!E87</f>
        <v>1581</v>
      </c>
      <c r="E395" s="63">
        <f>'Dotari 2022'!F87</f>
        <v>0</v>
      </c>
      <c r="F395" s="63">
        <f>'Dotari 2022'!G87</f>
        <v>1581</v>
      </c>
      <c r="G395" s="375">
        <f>'Dotari 2022'!H87</f>
        <v>1581</v>
      </c>
      <c r="H395" s="63">
        <f>'Dotari 2022'!I87</f>
        <v>0</v>
      </c>
      <c r="I395" s="63">
        <f>'Dotari 2022'!J87</f>
        <v>0</v>
      </c>
      <c r="J395" s="63">
        <f>'Dotari 2022'!K87</f>
        <v>1581</v>
      </c>
      <c r="K395" s="63">
        <f>'Dotari 2022'!L87</f>
        <v>0</v>
      </c>
      <c r="L395" s="63">
        <f>'Dotari 2022'!M87</f>
        <v>0</v>
      </c>
      <c r="M395" s="63">
        <f>'Dotari 2022'!N87</f>
        <v>0</v>
      </c>
      <c r="N395" s="71"/>
    </row>
    <row r="396" spans="1:14" s="56" customFormat="1" ht="21.75" customHeight="1">
      <c r="A396" s="58"/>
      <c r="B396" s="34"/>
      <c r="C396" s="63"/>
      <c r="D396" s="63"/>
      <c r="E396" s="63"/>
      <c r="F396" s="63"/>
      <c r="G396" s="76"/>
      <c r="H396" s="63"/>
      <c r="I396" s="63"/>
      <c r="J396" s="63"/>
      <c r="K396" s="63"/>
      <c r="L396" s="63"/>
      <c r="M396" s="63"/>
      <c r="N396" s="71"/>
    </row>
    <row r="397" spans="1:14" s="56" customFormat="1" ht="39.75" customHeight="1">
      <c r="A397" s="260"/>
      <c r="B397" s="170" t="s">
        <v>106</v>
      </c>
      <c r="C397" s="18" t="s">
        <v>107</v>
      </c>
      <c r="D397" s="18"/>
      <c r="E397" s="18"/>
      <c r="F397" s="18"/>
      <c r="G397" s="277">
        <f>G398-97450</f>
        <v>169263</v>
      </c>
      <c r="H397" s="277"/>
      <c r="I397" s="277"/>
      <c r="J397" s="277">
        <f>J398-95300</f>
        <v>105530</v>
      </c>
      <c r="K397" s="277"/>
      <c r="L397" s="278">
        <f>L398-2150</f>
        <v>12999</v>
      </c>
      <c r="M397" s="15" t="s">
        <v>16</v>
      </c>
      <c r="N397" s="33"/>
    </row>
    <row r="398" spans="1:14" s="56" customFormat="1" ht="27.75" customHeight="1">
      <c r="A398" s="66"/>
      <c r="B398" s="26" t="s">
        <v>9</v>
      </c>
      <c r="C398" s="75">
        <f aca="true" t="shared" si="54" ref="C398:M398">C401+C414+C429</f>
        <v>455565</v>
      </c>
      <c r="D398" s="75">
        <f t="shared" si="54"/>
        <v>455565</v>
      </c>
      <c r="E398" s="75">
        <f t="shared" si="54"/>
        <v>77908</v>
      </c>
      <c r="F398" s="75">
        <f t="shared" si="54"/>
        <v>377657</v>
      </c>
      <c r="G398" s="377">
        <f t="shared" si="54"/>
        <v>266713</v>
      </c>
      <c r="H398" s="75">
        <f t="shared" si="54"/>
        <v>6280</v>
      </c>
      <c r="I398" s="75">
        <f t="shared" si="54"/>
        <v>0</v>
      </c>
      <c r="J398" s="75">
        <f t="shared" si="54"/>
        <v>200830</v>
      </c>
      <c r="K398" s="75">
        <f t="shared" si="54"/>
        <v>0</v>
      </c>
      <c r="L398" s="75">
        <f t="shared" si="54"/>
        <v>15149</v>
      </c>
      <c r="M398" s="75">
        <f t="shared" si="54"/>
        <v>44454</v>
      </c>
      <c r="N398" s="33"/>
    </row>
    <row r="399" spans="1:14" s="56" customFormat="1" ht="27.75" customHeight="1">
      <c r="A399" s="66"/>
      <c r="B399" s="34"/>
      <c r="C399" s="75">
        <f aca="true" t="shared" si="55" ref="C399:M399">C402+C415+C430</f>
        <v>399451</v>
      </c>
      <c r="D399" s="75">
        <f t="shared" si="55"/>
        <v>409797</v>
      </c>
      <c r="E399" s="75">
        <f t="shared" si="55"/>
        <v>77064</v>
      </c>
      <c r="F399" s="75">
        <f t="shared" si="55"/>
        <v>332733</v>
      </c>
      <c r="G399" s="377">
        <f t="shared" si="55"/>
        <v>249998</v>
      </c>
      <c r="H399" s="75">
        <f t="shared" si="55"/>
        <v>0</v>
      </c>
      <c r="I399" s="75">
        <f t="shared" si="55"/>
        <v>0</v>
      </c>
      <c r="J399" s="75">
        <f t="shared" si="55"/>
        <v>191548</v>
      </c>
      <c r="K399" s="75">
        <f t="shared" si="55"/>
        <v>0</v>
      </c>
      <c r="L399" s="75">
        <f t="shared" si="55"/>
        <v>13996</v>
      </c>
      <c r="M399" s="75">
        <f t="shared" si="55"/>
        <v>44454</v>
      </c>
      <c r="N399" s="33"/>
    </row>
    <row r="400" spans="1:14" s="56" customFormat="1" ht="24.75" customHeight="1">
      <c r="A400" s="66"/>
      <c r="B400" s="34"/>
      <c r="C400" s="68"/>
      <c r="D400" s="68"/>
      <c r="E400" s="68"/>
      <c r="F400" s="68"/>
      <c r="G400" s="249"/>
      <c r="H400" s="249"/>
      <c r="I400" s="249"/>
      <c r="J400" s="249"/>
      <c r="K400" s="249"/>
      <c r="L400" s="249"/>
      <c r="M400" s="249"/>
      <c r="N400" s="33"/>
    </row>
    <row r="401" spans="1:14" s="56" customFormat="1" ht="22.5" customHeight="1">
      <c r="A401" s="66" t="s">
        <v>52</v>
      </c>
      <c r="B401" s="47" t="s">
        <v>10</v>
      </c>
      <c r="C401" s="72">
        <f aca="true" t="shared" si="56" ref="C401:M401">C406</f>
        <v>115406</v>
      </c>
      <c r="D401" s="67">
        <f t="shared" si="56"/>
        <v>115406</v>
      </c>
      <c r="E401" s="67">
        <f t="shared" si="56"/>
        <v>77746</v>
      </c>
      <c r="F401" s="67">
        <f t="shared" si="56"/>
        <v>37660</v>
      </c>
      <c r="G401" s="377">
        <f t="shared" si="56"/>
        <v>35749</v>
      </c>
      <c r="H401" s="67">
        <f t="shared" si="56"/>
        <v>0</v>
      </c>
      <c r="I401" s="67">
        <f t="shared" si="56"/>
        <v>0</v>
      </c>
      <c r="J401" s="67">
        <f t="shared" si="56"/>
        <v>35749</v>
      </c>
      <c r="K401" s="67">
        <f t="shared" si="56"/>
        <v>0</v>
      </c>
      <c r="L401" s="67">
        <f t="shared" si="56"/>
        <v>0</v>
      </c>
      <c r="M401" s="67">
        <f t="shared" si="56"/>
        <v>0</v>
      </c>
      <c r="N401" s="33"/>
    </row>
    <row r="402" spans="1:14" s="56" customFormat="1" ht="22.5" customHeight="1">
      <c r="A402" s="66"/>
      <c r="B402" s="48" t="s">
        <v>3</v>
      </c>
      <c r="C402" s="72">
        <f aca="true" t="shared" si="57" ref="C402:M402">C407</f>
        <v>101718</v>
      </c>
      <c r="D402" s="67">
        <f t="shared" si="57"/>
        <v>112064</v>
      </c>
      <c r="E402" s="67">
        <f t="shared" si="57"/>
        <v>77064</v>
      </c>
      <c r="F402" s="67">
        <f t="shared" si="57"/>
        <v>35000</v>
      </c>
      <c r="G402" s="377">
        <f t="shared" si="57"/>
        <v>35000</v>
      </c>
      <c r="H402" s="67">
        <f t="shared" si="57"/>
        <v>0</v>
      </c>
      <c r="I402" s="67">
        <f t="shared" si="57"/>
        <v>0</v>
      </c>
      <c r="J402" s="67">
        <f t="shared" si="57"/>
        <v>35000</v>
      </c>
      <c r="K402" s="67">
        <f t="shared" si="57"/>
        <v>0</v>
      </c>
      <c r="L402" s="67">
        <f t="shared" si="57"/>
        <v>0</v>
      </c>
      <c r="M402" s="67">
        <f t="shared" si="57"/>
        <v>0</v>
      </c>
      <c r="N402" s="33"/>
    </row>
    <row r="403" spans="1:14" s="56" customFormat="1" ht="22.5" customHeight="1">
      <c r="A403" s="66"/>
      <c r="B403" s="43" t="s">
        <v>13</v>
      </c>
      <c r="C403" s="68"/>
      <c r="D403" s="68"/>
      <c r="E403" s="68"/>
      <c r="F403" s="68"/>
      <c r="G403" s="249"/>
      <c r="H403" s="68"/>
      <c r="I403" s="68"/>
      <c r="J403" s="68"/>
      <c r="K403" s="68"/>
      <c r="L403" s="68"/>
      <c r="M403" s="68"/>
      <c r="N403" s="33"/>
    </row>
    <row r="404" spans="1:14" s="56" customFormat="1" ht="13.5" customHeight="1">
      <c r="A404" s="66"/>
      <c r="B404" s="43"/>
      <c r="C404" s="68"/>
      <c r="D404" s="68"/>
      <c r="E404" s="68"/>
      <c r="F404" s="68"/>
      <c r="G404" s="249"/>
      <c r="H404" s="68"/>
      <c r="I404" s="68"/>
      <c r="J404" s="68"/>
      <c r="K404" s="68"/>
      <c r="L404" s="68"/>
      <c r="M404" s="68"/>
      <c r="N404" s="33"/>
    </row>
    <row r="405" spans="1:14" s="56" customFormat="1" ht="13.5" customHeight="1">
      <c r="A405" s="66"/>
      <c r="C405" s="68"/>
      <c r="D405" s="68"/>
      <c r="E405" s="68"/>
      <c r="F405" s="68"/>
      <c r="G405" s="249"/>
      <c r="H405" s="68"/>
      <c r="I405" s="68"/>
      <c r="J405" s="68"/>
      <c r="K405" s="68"/>
      <c r="L405" s="68"/>
      <c r="M405" s="68"/>
      <c r="N405" s="33"/>
    </row>
    <row r="406" spans="1:14" s="56" customFormat="1" ht="69.75">
      <c r="A406" s="66">
        <v>1</v>
      </c>
      <c r="B406" s="232" t="s">
        <v>299</v>
      </c>
      <c r="C406" s="302">
        <v>115406</v>
      </c>
      <c r="D406" s="302">
        <f>C406</f>
        <v>115406</v>
      </c>
      <c r="E406" s="302">
        <v>77746</v>
      </c>
      <c r="F406" s="304">
        <f>D406-E406</f>
        <v>37660</v>
      </c>
      <c r="G406" s="377">
        <f>SUM(H406:M406)</f>
        <v>35749</v>
      </c>
      <c r="H406" s="302"/>
      <c r="I406" s="302"/>
      <c r="J406" s="302">
        <f>35368+381</f>
        <v>35749</v>
      </c>
      <c r="K406" s="302"/>
      <c r="L406" s="302">
        <v>0</v>
      </c>
      <c r="M406" s="302"/>
      <c r="N406" s="305" t="s">
        <v>35</v>
      </c>
    </row>
    <row r="407" spans="1:14" s="56" customFormat="1" ht="25.5" customHeight="1">
      <c r="A407" s="66"/>
      <c r="B407" s="23" t="s">
        <v>149</v>
      </c>
      <c r="C407" s="302">
        <v>101718</v>
      </c>
      <c r="D407" s="302">
        <f>C407+10346</f>
        <v>112064</v>
      </c>
      <c r="E407" s="302">
        <v>77064</v>
      </c>
      <c r="F407" s="304">
        <f>D407-E407</f>
        <v>35000</v>
      </c>
      <c r="G407" s="377">
        <f>SUM(H407:M407)</f>
        <v>35000</v>
      </c>
      <c r="H407" s="302"/>
      <c r="I407" s="302"/>
      <c r="J407" s="302">
        <v>35000</v>
      </c>
      <c r="K407" s="302"/>
      <c r="L407" s="302">
        <v>0</v>
      </c>
      <c r="M407" s="302"/>
      <c r="N407" s="305"/>
    </row>
    <row r="408" spans="1:14" s="56" customFormat="1" ht="25.5" customHeight="1">
      <c r="A408" s="66"/>
      <c r="B408" s="23"/>
      <c r="C408" s="68"/>
      <c r="D408" s="68"/>
      <c r="E408" s="68"/>
      <c r="F408" s="10"/>
      <c r="G408" s="249"/>
      <c r="H408" s="68"/>
      <c r="I408" s="68"/>
      <c r="J408" s="68"/>
      <c r="K408" s="68"/>
      <c r="L408" s="68"/>
      <c r="M408" s="68"/>
      <c r="N408" s="33"/>
    </row>
    <row r="409" spans="1:14" s="56" customFormat="1" ht="25.5" customHeight="1">
      <c r="A409" s="66"/>
      <c r="B409" s="23"/>
      <c r="C409" s="68"/>
      <c r="D409" s="68"/>
      <c r="E409" s="68"/>
      <c r="F409" s="10"/>
      <c r="G409" s="249"/>
      <c r="H409" s="68"/>
      <c r="I409" s="68"/>
      <c r="J409" s="68"/>
      <c r="K409" s="68"/>
      <c r="L409" s="68"/>
      <c r="M409" s="68"/>
      <c r="N409" s="33"/>
    </row>
    <row r="410" spans="1:14" s="56" customFormat="1" ht="25.5" customHeight="1">
      <c r="A410" s="66"/>
      <c r="B410" s="23"/>
      <c r="C410" s="68"/>
      <c r="D410" s="68"/>
      <c r="E410" s="68"/>
      <c r="F410" s="10"/>
      <c r="G410" s="249"/>
      <c r="H410" s="68"/>
      <c r="I410" s="68"/>
      <c r="J410" s="68"/>
      <c r="K410" s="68"/>
      <c r="L410" s="68"/>
      <c r="M410" s="68"/>
      <c r="N410" s="33"/>
    </row>
    <row r="411" spans="1:14" s="56" customFormat="1" ht="25.5" customHeight="1">
      <c r="A411" s="66"/>
      <c r="B411" s="23"/>
      <c r="C411" s="68"/>
      <c r="D411" s="68"/>
      <c r="E411" s="68"/>
      <c r="F411" s="10"/>
      <c r="G411" s="249"/>
      <c r="H411" s="68"/>
      <c r="I411" s="68"/>
      <c r="J411" s="68"/>
      <c r="K411" s="68"/>
      <c r="L411" s="68"/>
      <c r="M411" s="68"/>
      <c r="N411" s="33"/>
    </row>
    <row r="412" spans="1:14" s="56" customFormat="1" ht="12" customHeight="1">
      <c r="A412" s="66"/>
      <c r="B412" s="172"/>
      <c r="C412" s="10"/>
      <c r="D412" s="10"/>
      <c r="E412" s="10"/>
      <c r="F412" s="10"/>
      <c r="G412" s="249"/>
      <c r="H412" s="10"/>
      <c r="I412" s="10"/>
      <c r="J412" s="10"/>
      <c r="K412" s="10"/>
      <c r="L412" s="10"/>
      <c r="M412" s="46"/>
      <c r="N412" s="33"/>
    </row>
    <row r="413" spans="1:14" s="56" customFormat="1" ht="12" customHeight="1">
      <c r="A413" s="66"/>
      <c r="B413" s="172"/>
      <c r="C413" s="10"/>
      <c r="D413" s="10"/>
      <c r="E413" s="10"/>
      <c r="F413" s="10"/>
      <c r="G413" s="249"/>
      <c r="H413" s="10"/>
      <c r="I413" s="10"/>
      <c r="J413" s="10"/>
      <c r="K413" s="10"/>
      <c r="L413" s="10"/>
      <c r="M413" s="46"/>
      <c r="N413" s="33"/>
    </row>
    <row r="414" spans="1:14" s="56" customFormat="1" ht="22.5" customHeight="1">
      <c r="A414" s="17" t="s">
        <v>4</v>
      </c>
      <c r="B414" s="47" t="s">
        <v>10</v>
      </c>
      <c r="C414" s="67">
        <f>C418+C422+C426</f>
        <v>332676</v>
      </c>
      <c r="D414" s="67">
        <f aca="true" t="shared" si="58" ref="D414:M414">D418+D422+D426</f>
        <v>332676</v>
      </c>
      <c r="E414" s="67">
        <f t="shared" si="58"/>
        <v>1</v>
      </c>
      <c r="F414" s="67">
        <f t="shared" si="58"/>
        <v>332675</v>
      </c>
      <c r="G414" s="377">
        <f t="shared" si="58"/>
        <v>223642</v>
      </c>
      <c r="H414" s="67">
        <f t="shared" si="58"/>
        <v>0</v>
      </c>
      <c r="I414" s="67">
        <f t="shared" si="58"/>
        <v>0</v>
      </c>
      <c r="J414" s="67">
        <f t="shared" si="58"/>
        <v>165004</v>
      </c>
      <c r="K414" s="67">
        <f t="shared" si="58"/>
        <v>0</v>
      </c>
      <c r="L414" s="67">
        <f t="shared" si="58"/>
        <v>14184</v>
      </c>
      <c r="M414" s="67">
        <f t="shared" si="58"/>
        <v>44454</v>
      </c>
      <c r="N414" s="33"/>
    </row>
    <row r="415" spans="1:14" s="56" customFormat="1" ht="22.5" customHeight="1">
      <c r="A415" s="66"/>
      <c r="B415" s="48" t="s">
        <v>5</v>
      </c>
      <c r="C415" s="72">
        <f>C419+C423+C427</f>
        <v>297733</v>
      </c>
      <c r="D415" s="72">
        <f aca="true" t="shared" si="59" ref="D415:M415">D419+D423+D427</f>
        <v>297733</v>
      </c>
      <c r="E415" s="72">
        <f t="shared" si="59"/>
        <v>0</v>
      </c>
      <c r="F415" s="72">
        <f t="shared" si="59"/>
        <v>297733</v>
      </c>
      <c r="G415" s="379">
        <f t="shared" si="59"/>
        <v>214998</v>
      </c>
      <c r="H415" s="72">
        <f t="shared" si="59"/>
        <v>0</v>
      </c>
      <c r="I415" s="72">
        <f t="shared" si="59"/>
        <v>0</v>
      </c>
      <c r="J415" s="72">
        <f t="shared" si="59"/>
        <v>156548</v>
      </c>
      <c r="K415" s="72">
        <f t="shared" si="59"/>
        <v>0</v>
      </c>
      <c r="L415" s="72">
        <f t="shared" si="59"/>
        <v>13996</v>
      </c>
      <c r="M415" s="72">
        <f t="shared" si="59"/>
        <v>44454</v>
      </c>
      <c r="N415" s="33"/>
    </row>
    <row r="416" spans="1:14" s="56" customFormat="1" ht="12.75" customHeight="1">
      <c r="A416" s="66"/>
      <c r="B416" s="23"/>
      <c r="C416" s="68"/>
      <c r="D416" s="68"/>
      <c r="E416" s="68"/>
      <c r="F416" s="68"/>
      <c r="G416" s="249"/>
      <c r="H416" s="68"/>
      <c r="I416" s="68"/>
      <c r="J416" s="68"/>
      <c r="K416" s="68"/>
      <c r="L416" s="68"/>
      <c r="M416" s="68"/>
      <c r="N416" s="33"/>
    </row>
    <row r="417" spans="1:14" s="56" customFormat="1" ht="12.75" customHeight="1">
      <c r="A417" s="66"/>
      <c r="B417" s="23"/>
      <c r="C417" s="68"/>
      <c r="D417" s="68"/>
      <c r="E417" s="68"/>
      <c r="F417" s="68"/>
      <c r="G417" s="249"/>
      <c r="H417" s="68"/>
      <c r="I417" s="68"/>
      <c r="J417" s="68"/>
      <c r="K417" s="68"/>
      <c r="L417" s="68"/>
      <c r="M417" s="68"/>
      <c r="N417" s="33"/>
    </row>
    <row r="418" spans="1:14" s="56" customFormat="1" ht="69.75">
      <c r="A418" s="66">
        <v>1</v>
      </c>
      <c r="B418" s="232" t="s">
        <v>300</v>
      </c>
      <c r="C418" s="302">
        <v>116137</v>
      </c>
      <c r="D418" s="302">
        <f>C418</f>
        <v>116137</v>
      </c>
      <c r="E418" s="302">
        <v>0</v>
      </c>
      <c r="F418" s="304">
        <f>D418-E418</f>
        <v>116137</v>
      </c>
      <c r="G418" s="377">
        <f>SUM(H418:M418)</f>
        <v>110239</v>
      </c>
      <c r="H418" s="302"/>
      <c r="I418" s="302"/>
      <c r="J418" s="302">
        <f>109403+836</f>
        <v>110239</v>
      </c>
      <c r="K418" s="302"/>
      <c r="L418" s="302">
        <v>0</v>
      </c>
      <c r="M418" s="302"/>
      <c r="N418" s="305" t="s">
        <v>35</v>
      </c>
    </row>
    <row r="419" spans="1:14" s="56" customFormat="1" ht="18" customHeight="1">
      <c r="A419" s="66"/>
      <c r="B419" s="23" t="s">
        <v>150</v>
      </c>
      <c r="C419" s="302">
        <v>102348</v>
      </c>
      <c r="D419" s="302">
        <f>C419</f>
        <v>102348</v>
      </c>
      <c r="E419" s="302">
        <v>0</v>
      </c>
      <c r="F419" s="304">
        <f>D419-E419</f>
        <v>102348</v>
      </c>
      <c r="G419" s="377">
        <f>SUM(H419:M419)</f>
        <v>102348</v>
      </c>
      <c r="H419" s="302"/>
      <c r="I419" s="302"/>
      <c r="J419" s="302">
        <v>102348</v>
      </c>
      <c r="K419" s="302"/>
      <c r="L419" s="302">
        <v>0</v>
      </c>
      <c r="M419" s="302"/>
      <c r="N419" s="305"/>
    </row>
    <row r="420" spans="1:14" s="56" customFormat="1" ht="18" customHeight="1">
      <c r="A420" s="66"/>
      <c r="B420" s="23"/>
      <c r="C420" s="68"/>
      <c r="D420" s="68"/>
      <c r="E420" s="68"/>
      <c r="F420" s="10"/>
      <c r="G420" s="249"/>
      <c r="H420" s="68"/>
      <c r="I420" s="68"/>
      <c r="J420" s="68"/>
      <c r="K420" s="68"/>
      <c r="L420" s="68"/>
      <c r="M420" s="68"/>
      <c r="N420" s="33"/>
    </row>
    <row r="421" spans="1:14" s="56" customFormat="1" ht="18" customHeight="1">
      <c r="A421" s="66"/>
      <c r="B421" s="23"/>
      <c r="C421" s="68"/>
      <c r="D421" s="68"/>
      <c r="E421" s="68"/>
      <c r="F421" s="10"/>
      <c r="G421" s="249"/>
      <c r="H421" s="68"/>
      <c r="I421" s="68"/>
      <c r="J421" s="68"/>
      <c r="K421" s="68"/>
      <c r="L421" s="68"/>
      <c r="M421" s="68"/>
      <c r="N421" s="33"/>
    </row>
    <row r="422" spans="1:14" s="56" customFormat="1" ht="75.75" customHeight="1">
      <c r="A422" s="66">
        <v>2</v>
      </c>
      <c r="B422" s="232" t="s">
        <v>301</v>
      </c>
      <c r="C422" s="302">
        <v>70196</v>
      </c>
      <c r="D422" s="302">
        <f>C422</f>
        <v>70196</v>
      </c>
      <c r="E422" s="302">
        <v>1</v>
      </c>
      <c r="F422" s="304">
        <f>D422-E422</f>
        <v>70195</v>
      </c>
      <c r="G422" s="377">
        <f>SUM(H422:M422)</f>
        <v>54765</v>
      </c>
      <c r="H422" s="302"/>
      <c r="I422" s="302"/>
      <c r="J422" s="302">
        <f>54249+516</f>
        <v>54765</v>
      </c>
      <c r="K422" s="302"/>
      <c r="L422" s="302">
        <v>0</v>
      </c>
      <c r="M422" s="302"/>
      <c r="N422" s="305" t="s">
        <v>35</v>
      </c>
    </row>
    <row r="423" spans="1:14" s="56" customFormat="1" ht="18" customHeight="1">
      <c r="A423" s="66"/>
      <c r="B423" s="23" t="s">
        <v>182</v>
      </c>
      <c r="C423" s="302">
        <v>61500</v>
      </c>
      <c r="D423" s="302">
        <f>C423</f>
        <v>61500</v>
      </c>
      <c r="E423" s="302">
        <v>0</v>
      </c>
      <c r="F423" s="304">
        <f>D423-E423</f>
        <v>61500</v>
      </c>
      <c r="G423" s="377">
        <f>SUM(H423:M423)</f>
        <v>54200</v>
      </c>
      <c r="H423" s="302"/>
      <c r="I423" s="302"/>
      <c r="J423" s="302">
        <v>54200</v>
      </c>
      <c r="K423" s="302"/>
      <c r="L423" s="302">
        <v>0</v>
      </c>
      <c r="M423" s="302"/>
      <c r="N423" s="305"/>
    </row>
    <row r="424" spans="1:14" s="56" customFormat="1" ht="18" customHeight="1">
      <c r="A424" s="66"/>
      <c r="B424" s="23"/>
      <c r="C424" s="68"/>
      <c r="D424" s="68"/>
      <c r="E424" s="68"/>
      <c r="F424" s="10"/>
      <c r="G424" s="249"/>
      <c r="H424" s="68"/>
      <c r="I424" s="68"/>
      <c r="J424" s="68"/>
      <c r="K424" s="68"/>
      <c r="L424" s="68"/>
      <c r="M424" s="68"/>
      <c r="N424" s="33"/>
    </row>
    <row r="425" spans="1:14" s="56" customFormat="1" ht="18" customHeight="1">
      <c r="A425" s="66"/>
      <c r="B425" s="23"/>
      <c r="C425" s="68"/>
      <c r="D425" s="68"/>
      <c r="E425" s="68"/>
      <c r="F425" s="10"/>
      <c r="G425" s="249"/>
      <c r="H425" s="68"/>
      <c r="I425" s="68"/>
      <c r="J425" s="68"/>
      <c r="K425" s="68"/>
      <c r="L425" s="68"/>
      <c r="M425" s="68"/>
      <c r="N425" s="33"/>
    </row>
    <row r="426" spans="1:14" s="56" customFormat="1" ht="72" customHeight="1">
      <c r="A426" s="66">
        <v>3</v>
      </c>
      <c r="B426" s="232" t="s">
        <v>376</v>
      </c>
      <c r="C426" s="67">
        <v>146343</v>
      </c>
      <c r="D426" s="67">
        <f>C426</f>
        <v>146343</v>
      </c>
      <c r="E426" s="67">
        <v>0</v>
      </c>
      <c r="F426" s="11">
        <f>D426-E426</f>
        <v>146343</v>
      </c>
      <c r="G426" s="75">
        <f>SUM(H426:M426)</f>
        <v>58638</v>
      </c>
      <c r="H426" s="67"/>
      <c r="I426" s="67"/>
      <c r="J426" s="67">
        <v>0</v>
      </c>
      <c r="K426" s="67"/>
      <c r="L426" s="67">
        <f>15+6339+7830</f>
        <v>14184</v>
      </c>
      <c r="M426" s="67">
        <f>44369+85</f>
        <v>44454</v>
      </c>
      <c r="N426" s="305" t="s">
        <v>35</v>
      </c>
    </row>
    <row r="427" spans="1:14" s="56" customFormat="1" ht="39.75" customHeight="1">
      <c r="A427" s="66"/>
      <c r="B427" s="232" t="s">
        <v>377</v>
      </c>
      <c r="C427" s="67">
        <v>133885</v>
      </c>
      <c r="D427" s="67">
        <f>C427</f>
        <v>133885</v>
      </c>
      <c r="E427" s="67">
        <v>0</v>
      </c>
      <c r="F427" s="11">
        <f>D427-E427</f>
        <v>133885</v>
      </c>
      <c r="G427" s="75">
        <f>SUM(H427:M427)</f>
        <v>58450</v>
      </c>
      <c r="H427" s="67"/>
      <c r="I427" s="67"/>
      <c r="J427" s="67">
        <v>0</v>
      </c>
      <c r="K427" s="67"/>
      <c r="L427" s="67">
        <v>13996</v>
      </c>
      <c r="M427" s="67">
        <v>44454</v>
      </c>
      <c r="N427" s="305"/>
    </row>
    <row r="428" spans="1:14" s="56" customFormat="1" ht="27.75" customHeight="1">
      <c r="A428" s="66"/>
      <c r="B428" s="23"/>
      <c r="C428" s="332"/>
      <c r="D428" s="332"/>
      <c r="E428" s="332"/>
      <c r="F428" s="333"/>
      <c r="G428" s="249"/>
      <c r="H428" s="332"/>
      <c r="I428" s="332"/>
      <c r="J428" s="332"/>
      <c r="K428" s="332"/>
      <c r="L428" s="332"/>
      <c r="M428" s="332"/>
      <c r="N428" s="305"/>
    </row>
    <row r="429" spans="1:14" s="56" customFormat="1" ht="27.75" customHeight="1">
      <c r="A429" s="66" t="s">
        <v>6</v>
      </c>
      <c r="B429" s="47" t="s">
        <v>91</v>
      </c>
      <c r="C429" s="72">
        <f>C432+C433</f>
        <v>7483</v>
      </c>
      <c r="D429" s="72">
        <f aca="true" t="shared" si="60" ref="D429:M429">D432+D433</f>
        <v>7483</v>
      </c>
      <c r="E429" s="72">
        <f t="shared" si="60"/>
        <v>161</v>
      </c>
      <c r="F429" s="72">
        <f t="shared" si="60"/>
        <v>7322</v>
      </c>
      <c r="G429" s="379">
        <f t="shared" si="60"/>
        <v>7322</v>
      </c>
      <c r="H429" s="72">
        <f t="shared" si="60"/>
        <v>6280</v>
      </c>
      <c r="I429" s="72">
        <f t="shared" si="60"/>
        <v>0</v>
      </c>
      <c r="J429" s="72">
        <f t="shared" si="60"/>
        <v>77</v>
      </c>
      <c r="K429" s="72">
        <f t="shared" si="60"/>
        <v>0</v>
      </c>
      <c r="L429" s="72">
        <f t="shared" si="60"/>
        <v>965</v>
      </c>
      <c r="M429" s="72">
        <f t="shared" si="60"/>
        <v>0</v>
      </c>
      <c r="N429" s="33"/>
    </row>
    <row r="430" spans="1:14" s="56" customFormat="1" ht="27.75" customHeight="1">
      <c r="A430" s="66"/>
      <c r="B430" s="48" t="s">
        <v>12</v>
      </c>
      <c r="C430" s="68"/>
      <c r="D430" s="68"/>
      <c r="E430" s="68"/>
      <c r="F430" s="68"/>
      <c r="G430" s="249"/>
      <c r="H430" s="68"/>
      <c r="I430" s="68"/>
      <c r="J430" s="68"/>
      <c r="K430" s="68"/>
      <c r="L430" s="68"/>
      <c r="M430" s="68"/>
      <c r="N430" s="70"/>
    </row>
    <row r="431" spans="1:14" s="56" customFormat="1" ht="27.75" customHeight="1">
      <c r="A431" s="66"/>
      <c r="B431" s="26" t="s">
        <v>9</v>
      </c>
      <c r="C431" s="73"/>
      <c r="D431" s="73"/>
      <c r="E431" s="73"/>
      <c r="F431" s="73"/>
      <c r="G431" s="363"/>
      <c r="H431" s="73"/>
      <c r="I431" s="73"/>
      <c r="J431" s="73"/>
      <c r="K431" s="73"/>
      <c r="L431" s="73"/>
      <c r="M431" s="73"/>
      <c r="N431" s="71"/>
    </row>
    <row r="432" spans="1:14" s="56" customFormat="1" ht="27.75" customHeight="1">
      <c r="A432" s="66"/>
      <c r="B432" s="34" t="s">
        <v>0</v>
      </c>
      <c r="C432" s="73">
        <f>'Studii si proiecte 2022'!D232</f>
        <v>7406</v>
      </c>
      <c r="D432" s="73">
        <f>'Studii si proiecte 2022'!E232</f>
        <v>7406</v>
      </c>
      <c r="E432" s="73">
        <f>'Studii si proiecte 2022'!F232</f>
        <v>161</v>
      </c>
      <c r="F432" s="73">
        <f>'Studii si proiecte 2022'!G232</f>
        <v>7245</v>
      </c>
      <c r="G432" s="378">
        <f>'Studii si proiecte 2022'!H232</f>
        <v>7245</v>
      </c>
      <c r="H432" s="73">
        <f>'Studii si proiecte 2022'!I232</f>
        <v>6280</v>
      </c>
      <c r="I432" s="73">
        <f>'Studii si proiecte 2022'!J232</f>
        <v>0</v>
      </c>
      <c r="J432" s="73">
        <f>'Studii si proiecte 2022'!K232</f>
        <v>0</v>
      </c>
      <c r="K432" s="73">
        <f>'Studii si proiecte 2022'!L232</f>
        <v>0</v>
      </c>
      <c r="L432" s="73">
        <f>'Studii si proiecte 2022'!M232</f>
        <v>965</v>
      </c>
      <c r="M432" s="73">
        <f>'Studii si proiecte 2022'!N232</f>
        <v>0</v>
      </c>
      <c r="N432" s="71"/>
    </row>
    <row r="433" spans="1:14" s="56" customFormat="1" ht="27.75" customHeight="1">
      <c r="A433" s="58"/>
      <c r="B433" s="34" t="s">
        <v>24</v>
      </c>
      <c r="C433" s="63">
        <f>'Dotari 2022'!D94</f>
        <v>77</v>
      </c>
      <c r="D433" s="63">
        <f>'Dotari 2022'!E94</f>
        <v>77</v>
      </c>
      <c r="E433" s="63">
        <f>'Dotari 2022'!F94</f>
        <v>0</v>
      </c>
      <c r="F433" s="63">
        <f>'Dotari 2022'!G94</f>
        <v>77</v>
      </c>
      <c r="G433" s="375">
        <f>'Dotari 2022'!H94</f>
        <v>77</v>
      </c>
      <c r="H433" s="63">
        <f>'Dotari 2022'!I94</f>
        <v>0</v>
      </c>
      <c r="I433" s="63">
        <f>'Dotari 2022'!J94</f>
        <v>0</v>
      </c>
      <c r="J433" s="63">
        <f>'Dotari 2022'!K94</f>
        <v>77</v>
      </c>
      <c r="K433" s="63">
        <f>'Dotari 2022'!L94</f>
        <v>0</v>
      </c>
      <c r="L433" s="63">
        <f>'Dotari 2022'!M94</f>
        <v>0</v>
      </c>
      <c r="M433" s="63">
        <f>'Dotari 2022'!N94</f>
        <v>0</v>
      </c>
      <c r="N433" s="71"/>
    </row>
    <row r="434" spans="1:14" s="56" customFormat="1" ht="27.75" customHeight="1">
      <c r="A434" s="58"/>
      <c r="B434" s="34"/>
      <c r="C434" s="63"/>
      <c r="D434" s="63"/>
      <c r="E434" s="63"/>
      <c r="F434" s="63"/>
      <c r="G434" s="76"/>
      <c r="H434" s="63"/>
      <c r="I434" s="63"/>
      <c r="J434" s="63"/>
      <c r="K434" s="63"/>
      <c r="L434" s="63"/>
      <c r="M434" s="63"/>
      <c r="N434" s="71"/>
    </row>
    <row r="435" spans="1:14" s="56" customFormat="1" ht="27.75" customHeight="1">
      <c r="A435" s="58"/>
      <c r="B435" s="34"/>
      <c r="C435" s="63"/>
      <c r="D435" s="63"/>
      <c r="E435" s="63"/>
      <c r="F435" s="63"/>
      <c r="G435" s="76"/>
      <c r="H435" s="63"/>
      <c r="I435" s="63"/>
      <c r="J435" s="63"/>
      <c r="K435" s="63"/>
      <c r="L435" s="63"/>
      <c r="M435" s="63"/>
      <c r="N435" s="71"/>
    </row>
    <row r="436" spans="1:14" s="56" customFormat="1" ht="27.75" customHeight="1">
      <c r="A436" s="58"/>
      <c r="B436" s="34"/>
      <c r="C436" s="63"/>
      <c r="D436" s="63"/>
      <c r="E436" s="63"/>
      <c r="F436" s="63"/>
      <c r="G436" s="76"/>
      <c r="H436" s="63"/>
      <c r="I436" s="63"/>
      <c r="J436" s="63"/>
      <c r="K436" s="63"/>
      <c r="L436" s="63"/>
      <c r="M436" s="63"/>
      <c r="N436" s="71"/>
    </row>
    <row r="437" spans="1:14" s="56" customFormat="1" ht="27.75" customHeight="1">
      <c r="A437" s="58"/>
      <c r="B437" s="34"/>
      <c r="C437" s="63"/>
      <c r="D437" s="63"/>
      <c r="E437" s="63"/>
      <c r="F437" s="63"/>
      <c r="G437" s="76"/>
      <c r="H437" s="63"/>
      <c r="I437" s="63"/>
      <c r="J437" s="63"/>
      <c r="K437" s="63"/>
      <c r="L437" s="63"/>
      <c r="M437" s="63"/>
      <c r="N437" s="71"/>
    </row>
    <row r="438" spans="1:14" s="56" customFormat="1" ht="27.75" customHeight="1">
      <c r="A438" s="58"/>
      <c r="B438" s="34"/>
      <c r="C438" s="63"/>
      <c r="D438" s="63"/>
      <c r="E438" s="63"/>
      <c r="F438" s="63"/>
      <c r="G438" s="76"/>
      <c r="H438" s="63"/>
      <c r="I438" s="63"/>
      <c r="J438" s="63"/>
      <c r="K438" s="63"/>
      <c r="L438" s="63"/>
      <c r="M438" s="63"/>
      <c r="N438" s="71"/>
    </row>
    <row r="439" spans="1:14" s="56" customFormat="1" ht="27.75" customHeight="1">
      <c r="A439" s="58"/>
      <c r="B439" s="34"/>
      <c r="C439" s="63"/>
      <c r="D439" s="63"/>
      <c r="E439" s="63"/>
      <c r="F439" s="63"/>
      <c r="G439" s="76"/>
      <c r="H439" s="63"/>
      <c r="I439" s="63"/>
      <c r="J439" s="63"/>
      <c r="K439" s="63"/>
      <c r="L439" s="63"/>
      <c r="M439" s="63"/>
      <c r="N439" s="71"/>
    </row>
    <row r="440" spans="1:14" s="56" customFormat="1" ht="27.75" customHeight="1">
      <c r="A440" s="58"/>
      <c r="B440" s="34"/>
      <c r="C440" s="63"/>
      <c r="D440" s="63"/>
      <c r="E440" s="63"/>
      <c r="F440" s="63"/>
      <c r="G440" s="76"/>
      <c r="H440" s="63"/>
      <c r="I440" s="63"/>
      <c r="J440" s="63"/>
      <c r="K440" s="63"/>
      <c r="L440" s="63"/>
      <c r="M440" s="63"/>
      <c r="N440" s="71"/>
    </row>
    <row r="441" spans="1:14" s="56" customFormat="1" ht="27.75" customHeight="1">
      <c r="A441" s="58"/>
      <c r="B441" s="34"/>
      <c r="C441" s="63"/>
      <c r="D441" s="63"/>
      <c r="E441" s="63"/>
      <c r="F441" s="63"/>
      <c r="G441" s="76"/>
      <c r="H441" s="63"/>
      <c r="I441" s="63"/>
      <c r="J441" s="63"/>
      <c r="K441" s="63"/>
      <c r="L441" s="63"/>
      <c r="M441" s="63"/>
      <c r="N441" s="71"/>
    </row>
    <row r="442" spans="1:14" s="56" customFormat="1" ht="20.25" customHeight="1">
      <c r="A442" s="58"/>
      <c r="B442" s="34"/>
      <c r="C442" s="63"/>
      <c r="D442" s="63"/>
      <c r="E442" s="63"/>
      <c r="F442" s="63"/>
      <c r="G442" s="76"/>
      <c r="H442" s="63"/>
      <c r="I442" s="63"/>
      <c r="J442" s="63"/>
      <c r="K442" s="63"/>
      <c r="L442" s="63"/>
      <c r="M442" s="63"/>
      <c r="N442" s="71"/>
    </row>
    <row r="443" spans="1:14" s="56" customFormat="1" ht="20.25" customHeight="1">
      <c r="A443" s="58"/>
      <c r="B443" s="34"/>
      <c r="C443" s="63"/>
      <c r="D443" s="63"/>
      <c r="E443" s="63"/>
      <c r="F443" s="63"/>
      <c r="G443" s="76"/>
      <c r="H443" s="63"/>
      <c r="I443" s="63"/>
      <c r="J443" s="63"/>
      <c r="K443" s="63"/>
      <c r="L443" s="63"/>
      <c r="M443" s="63"/>
      <c r="N443" s="71"/>
    </row>
    <row r="444" spans="1:14" s="56" customFormat="1" ht="30" customHeight="1">
      <c r="A444" s="21"/>
      <c r="B444" s="178" t="s">
        <v>69</v>
      </c>
      <c r="C444" s="23" t="s">
        <v>65</v>
      </c>
      <c r="D444" s="24"/>
      <c r="E444" s="24"/>
      <c r="F444" s="24"/>
      <c r="G444" s="279">
        <f>G445-223334</f>
        <v>77753</v>
      </c>
      <c r="H444" s="279"/>
      <c r="I444" s="279">
        <f>I445-3420</f>
        <v>-1366</v>
      </c>
      <c r="J444" s="279">
        <f>J445-200074</f>
        <v>56201</v>
      </c>
      <c r="K444" s="279"/>
      <c r="L444" s="279">
        <f>L445-19840</f>
        <v>22918</v>
      </c>
      <c r="M444" s="10" t="s">
        <v>16</v>
      </c>
      <c r="N444" s="71"/>
    </row>
    <row r="445" spans="1:14" s="56" customFormat="1" ht="19.5" customHeight="1">
      <c r="A445" s="25"/>
      <c r="B445" s="26" t="s">
        <v>9</v>
      </c>
      <c r="C445" s="27">
        <f aca="true" t="shared" si="61" ref="C445:M445">C448+C478+C564</f>
        <v>423142</v>
      </c>
      <c r="D445" s="27">
        <f t="shared" si="61"/>
        <v>445147</v>
      </c>
      <c r="E445" s="27">
        <f t="shared" si="61"/>
        <v>102724</v>
      </c>
      <c r="F445" s="27">
        <f t="shared" si="61"/>
        <v>342423</v>
      </c>
      <c r="G445" s="376">
        <f t="shared" si="61"/>
        <v>301087</v>
      </c>
      <c r="H445" s="27">
        <f t="shared" si="61"/>
        <v>0</v>
      </c>
      <c r="I445" s="27">
        <f t="shared" si="61"/>
        <v>2054</v>
      </c>
      <c r="J445" s="27">
        <f t="shared" si="61"/>
        <v>256275</v>
      </c>
      <c r="K445" s="27">
        <f t="shared" si="61"/>
        <v>0</v>
      </c>
      <c r="L445" s="27">
        <f t="shared" si="61"/>
        <v>42758</v>
      </c>
      <c r="M445" s="27">
        <f t="shared" si="61"/>
        <v>0</v>
      </c>
      <c r="N445" s="71"/>
    </row>
    <row r="446" spans="1:14" s="56" customFormat="1" ht="19.5" customHeight="1">
      <c r="A446" s="28"/>
      <c r="B446" s="29"/>
      <c r="C446" s="27">
        <f aca="true" t="shared" si="62" ref="C446:M446">C449+C479+C565</f>
        <v>284700</v>
      </c>
      <c r="D446" s="27">
        <f t="shared" si="62"/>
        <v>315106</v>
      </c>
      <c r="E446" s="27">
        <f t="shared" si="62"/>
        <v>77753</v>
      </c>
      <c r="F446" s="27">
        <f t="shared" si="62"/>
        <v>237353</v>
      </c>
      <c r="G446" s="376">
        <f t="shared" si="62"/>
        <v>199161</v>
      </c>
      <c r="H446" s="27">
        <f t="shared" si="62"/>
        <v>0</v>
      </c>
      <c r="I446" s="27">
        <f t="shared" si="62"/>
        <v>0</v>
      </c>
      <c r="J446" s="27">
        <f t="shared" si="62"/>
        <v>173147</v>
      </c>
      <c r="K446" s="27">
        <f t="shared" si="62"/>
        <v>0</v>
      </c>
      <c r="L446" s="27">
        <f t="shared" si="62"/>
        <v>26014</v>
      </c>
      <c r="M446" s="27">
        <f t="shared" si="62"/>
        <v>0</v>
      </c>
      <c r="N446" s="33"/>
    </row>
    <row r="447" spans="1:14" s="56" customFormat="1" ht="19.5" customHeight="1">
      <c r="A447" s="28"/>
      <c r="B447" s="29"/>
      <c r="C447" s="61"/>
      <c r="D447" s="61"/>
      <c r="E447" s="61"/>
      <c r="F447" s="61"/>
      <c r="G447" s="61"/>
      <c r="H447" s="61"/>
      <c r="I447" s="61"/>
      <c r="J447" s="61"/>
      <c r="K447" s="61"/>
      <c r="L447" s="61"/>
      <c r="M447" s="61"/>
      <c r="N447" s="71"/>
    </row>
    <row r="448" spans="1:14" s="56" customFormat="1" ht="19.5" customHeight="1">
      <c r="A448" s="28" t="s">
        <v>1</v>
      </c>
      <c r="B448" s="47" t="s">
        <v>2</v>
      </c>
      <c r="C448" s="11">
        <f>C451+C455+C459+C463+C467+C471+C475</f>
        <v>301124</v>
      </c>
      <c r="D448" s="11">
        <f aca="true" t="shared" si="63" ref="D448:M448">D451+D455+D459+D463+D467+D471+D475</f>
        <v>320814</v>
      </c>
      <c r="E448" s="11">
        <f t="shared" si="63"/>
        <v>91376</v>
      </c>
      <c r="F448" s="11">
        <f t="shared" si="63"/>
        <v>229438</v>
      </c>
      <c r="G448" s="376">
        <f t="shared" si="63"/>
        <v>197652</v>
      </c>
      <c r="H448" s="11">
        <f t="shared" si="63"/>
        <v>0</v>
      </c>
      <c r="I448" s="11">
        <f t="shared" si="63"/>
        <v>0</v>
      </c>
      <c r="J448" s="11">
        <f t="shared" si="63"/>
        <v>197593</v>
      </c>
      <c r="K448" s="11">
        <f t="shared" si="63"/>
        <v>0</v>
      </c>
      <c r="L448" s="11">
        <f t="shared" si="63"/>
        <v>59</v>
      </c>
      <c r="M448" s="11">
        <f t="shared" si="63"/>
        <v>0</v>
      </c>
      <c r="N448" s="33"/>
    </row>
    <row r="449" spans="1:14" s="56" customFormat="1" ht="19.5" customHeight="1">
      <c r="A449" s="28"/>
      <c r="B449" s="48" t="s">
        <v>3</v>
      </c>
      <c r="C449" s="11">
        <f>C452+C456+C460+C464+C468+C472+C476</f>
        <v>250077</v>
      </c>
      <c r="D449" s="11">
        <f aca="true" t="shared" si="64" ref="D449:M449">D452+D456+D460+D464+D468+D472+D476</f>
        <v>278395</v>
      </c>
      <c r="E449" s="11">
        <f t="shared" si="64"/>
        <v>72592</v>
      </c>
      <c r="F449" s="11">
        <f t="shared" si="64"/>
        <v>205803</v>
      </c>
      <c r="G449" s="376">
        <f t="shared" si="64"/>
        <v>173147</v>
      </c>
      <c r="H449" s="11">
        <f t="shared" si="64"/>
        <v>0</v>
      </c>
      <c r="I449" s="11">
        <f t="shared" si="64"/>
        <v>0</v>
      </c>
      <c r="J449" s="11">
        <f t="shared" si="64"/>
        <v>173147</v>
      </c>
      <c r="K449" s="11">
        <f t="shared" si="64"/>
        <v>0</v>
      </c>
      <c r="L449" s="11">
        <f t="shared" si="64"/>
        <v>0</v>
      </c>
      <c r="M449" s="11">
        <f t="shared" si="64"/>
        <v>0</v>
      </c>
      <c r="N449" s="71"/>
    </row>
    <row r="450" spans="1:14" s="56" customFormat="1" ht="30" customHeight="1">
      <c r="A450" s="28"/>
      <c r="B450" s="43" t="s">
        <v>33</v>
      </c>
      <c r="C450" s="10"/>
      <c r="D450" s="10"/>
      <c r="E450" s="10"/>
      <c r="F450" s="10"/>
      <c r="G450" s="61"/>
      <c r="H450" s="10"/>
      <c r="I450" s="10"/>
      <c r="J450" s="10"/>
      <c r="K450" s="10"/>
      <c r="L450" s="10"/>
      <c r="M450" s="10"/>
      <c r="N450" s="71"/>
    </row>
    <row r="451" spans="1:14" s="263" customFormat="1" ht="42">
      <c r="A451" s="69">
        <v>1</v>
      </c>
      <c r="B451" s="78" t="s">
        <v>302</v>
      </c>
      <c r="C451" s="304">
        <v>85967</v>
      </c>
      <c r="D451" s="304">
        <f>80383+26311</f>
        <v>106694</v>
      </c>
      <c r="E451" s="304">
        <f>3515+35579</f>
        <v>39094</v>
      </c>
      <c r="F451" s="304">
        <f>D451-E451</f>
        <v>67600</v>
      </c>
      <c r="G451" s="377">
        <f>SUM(H451:M451)</f>
        <v>63600</v>
      </c>
      <c r="H451" s="304"/>
      <c r="I451" s="304"/>
      <c r="J451" s="304">
        <v>63600</v>
      </c>
      <c r="K451" s="304"/>
      <c r="L451" s="304">
        <v>0</v>
      </c>
      <c r="M451" s="335">
        <v>0</v>
      </c>
      <c r="N451" s="305" t="s">
        <v>32</v>
      </c>
    </row>
    <row r="452" spans="1:14" s="263" customFormat="1" ht="33" customHeight="1">
      <c r="A452" s="69"/>
      <c r="B452" s="174" t="s">
        <v>157</v>
      </c>
      <c r="C452" s="304">
        <v>77031</v>
      </c>
      <c r="D452" s="304">
        <f>69939+26359+2400</f>
        <v>98698</v>
      </c>
      <c r="E452" s="304">
        <f>3220+35478</f>
        <v>38698</v>
      </c>
      <c r="F452" s="304">
        <f>D452-E452</f>
        <v>60000</v>
      </c>
      <c r="G452" s="377">
        <f>SUM(H452:M452)</f>
        <v>60000</v>
      </c>
      <c r="H452" s="304"/>
      <c r="I452" s="304"/>
      <c r="J452" s="304">
        <v>60000</v>
      </c>
      <c r="K452" s="304"/>
      <c r="L452" s="304">
        <v>0</v>
      </c>
      <c r="M452" s="335">
        <v>0</v>
      </c>
      <c r="N452" s="305"/>
    </row>
    <row r="453" spans="1:14" s="263" customFormat="1" ht="17.25" customHeight="1">
      <c r="A453" s="69"/>
      <c r="B453" s="174"/>
      <c r="C453" s="10"/>
      <c r="D453" s="10"/>
      <c r="E453" s="10"/>
      <c r="F453" s="10"/>
      <c r="G453" s="249"/>
      <c r="H453" s="10"/>
      <c r="I453" s="10"/>
      <c r="J453" s="10"/>
      <c r="K453" s="10"/>
      <c r="L453" s="10"/>
      <c r="M453" s="46"/>
      <c r="N453" s="33"/>
    </row>
    <row r="454" spans="1:14" s="263" customFormat="1" ht="17.25" customHeight="1">
      <c r="A454" s="69"/>
      <c r="B454" s="79"/>
      <c r="C454" s="10"/>
      <c r="D454" s="10"/>
      <c r="E454" s="10"/>
      <c r="F454" s="10"/>
      <c r="G454" s="249"/>
      <c r="H454" s="10"/>
      <c r="I454" s="10"/>
      <c r="J454" s="10"/>
      <c r="K454" s="10"/>
      <c r="L454" s="10"/>
      <c r="M454" s="46"/>
      <c r="N454" s="33"/>
    </row>
    <row r="455" spans="1:14" s="263" customFormat="1" ht="40.5" customHeight="1">
      <c r="A455" s="69">
        <v>2</v>
      </c>
      <c r="B455" s="78" t="s">
        <v>375</v>
      </c>
      <c r="C455" s="304">
        <v>89855</v>
      </c>
      <c r="D455" s="304">
        <f>86638+3524</f>
        <v>90162</v>
      </c>
      <c r="E455" s="304">
        <f>13057+23021</f>
        <v>36078</v>
      </c>
      <c r="F455" s="304">
        <f>D455-E455</f>
        <v>54084</v>
      </c>
      <c r="G455" s="377">
        <f>SUM(H455:M455)</f>
        <v>54084</v>
      </c>
      <c r="H455" s="304"/>
      <c r="I455" s="304"/>
      <c r="J455" s="304">
        <v>54084</v>
      </c>
      <c r="K455" s="304"/>
      <c r="L455" s="304">
        <v>0</v>
      </c>
      <c r="M455" s="335">
        <v>0</v>
      </c>
      <c r="N455" s="305" t="s">
        <v>32</v>
      </c>
    </row>
    <row r="456" spans="1:14" s="263" customFormat="1" ht="24" customHeight="1">
      <c r="A456" s="69"/>
      <c r="B456" s="174" t="s">
        <v>155</v>
      </c>
      <c r="C456" s="304">
        <v>69490</v>
      </c>
      <c r="D456" s="304">
        <v>65678</v>
      </c>
      <c r="E456" s="304">
        <f>540+18087</f>
        <v>18627</v>
      </c>
      <c r="F456" s="304">
        <f>D456-E456</f>
        <v>47051</v>
      </c>
      <c r="G456" s="377">
        <f>SUM(H456:M456)</f>
        <v>40947</v>
      </c>
      <c r="H456" s="304"/>
      <c r="I456" s="304"/>
      <c r="J456" s="304">
        <v>40947</v>
      </c>
      <c r="K456" s="304"/>
      <c r="L456" s="304">
        <v>0</v>
      </c>
      <c r="M456" s="335">
        <v>0</v>
      </c>
      <c r="N456" s="305"/>
    </row>
    <row r="457" spans="1:14" s="263" customFormat="1" ht="12.75" customHeight="1">
      <c r="A457" s="69"/>
      <c r="B457" s="174"/>
      <c r="C457" s="10"/>
      <c r="D457" s="10"/>
      <c r="E457" s="10"/>
      <c r="F457" s="10"/>
      <c r="G457" s="249"/>
      <c r="H457" s="10"/>
      <c r="I457" s="10"/>
      <c r="J457" s="10"/>
      <c r="K457" s="10"/>
      <c r="L457" s="10"/>
      <c r="M457" s="46"/>
      <c r="N457" s="33"/>
    </row>
    <row r="458" spans="1:14" s="263" customFormat="1" ht="12.75" customHeight="1">
      <c r="A458" s="69"/>
      <c r="B458" s="174"/>
      <c r="C458" s="10"/>
      <c r="D458" s="10"/>
      <c r="E458" s="10"/>
      <c r="F458" s="10"/>
      <c r="G458" s="249"/>
      <c r="H458" s="10"/>
      <c r="I458" s="10"/>
      <c r="J458" s="10"/>
      <c r="K458" s="10"/>
      <c r="L458" s="10"/>
      <c r="M458" s="46"/>
      <c r="N458" s="33"/>
    </row>
    <row r="459" spans="1:14" s="263" customFormat="1" ht="42" customHeight="1">
      <c r="A459" s="69">
        <v>3</v>
      </c>
      <c r="B459" s="78" t="s">
        <v>374</v>
      </c>
      <c r="C459" s="304">
        <v>69801</v>
      </c>
      <c r="D459" s="304">
        <f>66066+2391</f>
        <v>68457</v>
      </c>
      <c r="E459" s="304">
        <f>164+13500</f>
        <v>13664</v>
      </c>
      <c r="F459" s="304">
        <f>D459-E459</f>
        <v>54793</v>
      </c>
      <c r="G459" s="377">
        <f>SUM(H459:M459)</f>
        <v>54793</v>
      </c>
      <c r="H459" s="304"/>
      <c r="I459" s="304"/>
      <c r="J459" s="304">
        <f>54793</f>
        <v>54793</v>
      </c>
      <c r="K459" s="304"/>
      <c r="L459" s="304">
        <v>0</v>
      </c>
      <c r="M459" s="335">
        <v>0</v>
      </c>
      <c r="N459" s="305" t="s">
        <v>32</v>
      </c>
    </row>
    <row r="460" spans="1:14" s="263" customFormat="1" ht="20.25" customHeight="1">
      <c r="A460" s="69"/>
      <c r="B460" s="174" t="s">
        <v>178</v>
      </c>
      <c r="C460" s="304">
        <v>54671</v>
      </c>
      <c r="D460" s="304">
        <f>52089+10845+2200</f>
        <v>65134</v>
      </c>
      <c r="E460" s="304">
        <f>13434</f>
        <v>13434</v>
      </c>
      <c r="F460" s="304">
        <f>D460-E460</f>
        <v>51700</v>
      </c>
      <c r="G460" s="377">
        <f>SUM(H460:M460)</f>
        <v>51700</v>
      </c>
      <c r="H460" s="304"/>
      <c r="I460" s="304"/>
      <c r="J460" s="304">
        <v>51700</v>
      </c>
      <c r="K460" s="304"/>
      <c r="L460" s="304">
        <v>0</v>
      </c>
      <c r="M460" s="335">
        <v>0</v>
      </c>
      <c r="N460" s="305"/>
    </row>
    <row r="461" spans="1:14" s="263" customFormat="1" ht="15" customHeight="1">
      <c r="A461" s="69"/>
      <c r="B461" s="174"/>
      <c r="C461" s="10"/>
      <c r="D461" s="10"/>
      <c r="E461" s="10"/>
      <c r="F461" s="10"/>
      <c r="G461" s="249"/>
      <c r="H461" s="10"/>
      <c r="I461" s="10"/>
      <c r="J461" s="10"/>
      <c r="K461" s="10"/>
      <c r="L461" s="10"/>
      <c r="M461" s="46"/>
      <c r="N461" s="33"/>
    </row>
    <row r="462" spans="1:14" s="263" customFormat="1" ht="15" customHeight="1">
      <c r="A462" s="69"/>
      <c r="B462" s="174"/>
      <c r="C462" s="10"/>
      <c r="D462" s="10"/>
      <c r="E462" s="10"/>
      <c r="F462" s="10"/>
      <c r="G462" s="249"/>
      <c r="H462" s="10"/>
      <c r="I462" s="10"/>
      <c r="J462" s="10"/>
      <c r="K462" s="10"/>
      <c r="L462" s="10"/>
      <c r="M462" s="46"/>
      <c r="N462" s="33"/>
    </row>
    <row r="463" spans="1:14" s="263" customFormat="1" ht="42">
      <c r="A463" s="69">
        <v>4</v>
      </c>
      <c r="B463" s="78" t="s">
        <v>306</v>
      </c>
      <c r="C463" s="304">
        <v>41227</v>
      </c>
      <c r="D463" s="304">
        <f>C463</f>
        <v>41227</v>
      </c>
      <c r="E463" s="304">
        <v>59</v>
      </c>
      <c r="F463" s="304">
        <f>D463-E463</f>
        <v>41168</v>
      </c>
      <c r="G463" s="377">
        <f>SUM(H463:M463)</f>
        <v>25116</v>
      </c>
      <c r="H463" s="304"/>
      <c r="I463" s="304"/>
      <c r="J463" s="304">
        <v>25116</v>
      </c>
      <c r="K463" s="304"/>
      <c r="L463" s="304">
        <v>0</v>
      </c>
      <c r="M463" s="335">
        <v>0</v>
      </c>
      <c r="N463" s="305" t="s">
        <v>32</v>
      </c>
    </row>
    <row r="464" spans="1:14" s="263" customFormat="1" ht="20.25" customHeight="1">
      <c r="A464" s="69"/>
      <c r="B464" s="174" t="s">
        <v>220</v>
      </c>
      <c r="C464" s="304">
        <v>36383</v>
      </c>
      <c r="D464" s="304">
        <f>C464</f>
        <v>36383</v>
      </c>
      <c r="E464" s="304">
        <v>0</v>
      </c>
      <c r="F464" s="304">
        <f>D464-E464</f>
        <v>36383</v>
      </c>
      <c r="G464" s="377">
        <f>SUM(H464:M464)</f>
        <v>20500</v>
      </c>
      <c r="H464" s="304"/>
      <c r="I464" s="304"/>
      <c r="J464" s="304">
        <v>20500</v>
      </c>
      <c r="K464" s="304"/>
      <c r="L464" s="304">
        <v>0</v>
      </c>
      <c r="M464" s="335">
        <v>0</v>
      </c>
      <c r="N464" s="305"/>
    </row>
    <row r="465" spans="1:14" s="263" customFormat="1" ht="15" customHeight="1">
      <c r="A465" s="69"/>
      <c r="B465" s="174"/>
      <c r="C465" s="10"/>
      <c r="D465" s="10"/>
      <c r="E465" s="10"/>
      <c r="F465" s="10"/>
      <c r="G465" s="249"/>
      <c r="H465" s="10"/>
      <c r="I465" s="10"/>
      <c r="J465" s="10"/>
      <c r="K465" s="10"/>
      <c r="L465" s="10"/>
      <c r="M465" s="46"/>
      <c r="N465" s="33"/>
    </row>
    <row r="466" spans="1:14" s="56" customFormat="1" ht="15" customHeight="1">
      <c r="A466" s="69"/>
      <c r="B466" s="174"/>
      <c r="C466" s="10"/>
      <c r="D466" s="10"/>
      <c r="E466" s="10"/>
      <c r="F466" s="10"/>
      <c r="G466" s="249"/>
      <c r="H466" s="10"/>
      <c r="I466" s="10"/>
      <c r="J466" s="10"/>
      <c r="K466" s="10"/>
      <c r="L466" s="10"/>
      <c r="M466" s="46"/>
      <c r="N466" s="33"/>
    </row>
    <row r="467" spans="1:14" s="56" customFormat="1" ht="55.5">
      <c r="A467" s="69">
        <v>5</v>
      </c>
      <c r="B467" s="356" t="s">
        <v>303</v>
      </c>
      <c r="C467" s="304">
        <v>13836</v>
      </c>
      <c r="D467" s="304">
        <v>13836</v>
      </c>
      <c r="E467" s="304">
        <f>2126+8</f>
        <v>2134</v>
      </c>
      <c r="F467" s="304">
        <f>D467-E467</f>
        <v>11702</v>
      </c>
      <c r="G467" s="377">
        <f>SUM(H467:M467)</f>
        <v>56</v>
      </c>
      <c r="H467" s="304"/>
      <c r="I467" s="304"/>
      <c r="J467" s="304">
        <v>0</v>
      </c>
      <c r="K467" s="304"/>
      <c r="L467" s="304">
        <v>56</v>
      </c>
      <c r="M467" s="335">
        <v>0</v>
      </c>
      <c r="N467" s="305" t="s">
        <v>32</v>
      </c>
    </row>
    <row r="468" spans="1:14" s="56" customFormat="1" ht="36" customHeight="1">
      <c r="A468" s="69"/>
      <c r="B468" s="357" t="s">
        <v>208</v>
      </c>
      <c r="C468" s="304">
        <v>12128</v>
      </c>
      <c r="D468" s="304">
        <v>12128</v>
      </c>
      <c r="E468" s="304">
        <v>1515</v>
      </c>
      <c r="F468" s="304">
        <f>D468-E468</f>
        <v>10613</v>
      </c>
      <c r="G468" s="377">
        <f>SUM(H468:M468)</f>
        <v>0</v>
      </c>
      <c r="H468" s="304"/>
      <c r="I468" s="304"/>
      <c r="J468" s="304">
        <v>0</v>
      </c>
      <c r="K468" s="304"/>
      <c r="L468" s="304">
        <v>0</v>
      </c>
      <c r="M468" s="335">
        <v>0</v>
      </c>
      <c r="N468" s="305"/>
    </row>
    <row r="469" spans="1:14" s="56" customFormat="1" ht="15.75" customHeight="1">
      <c r="A469" s="69"/>
      <c r="B469" s="174"/>
      <c r="C469" s="10"/>
      <c r="D469" s="10"/>
      <c r="E469" s="10"/>
      <c r="F469" s="10"/>
      <c r="G469" s="249"/>
      <c r="H469" s="10"/>
      <c r="I469" s="10"/>
      <c r="J469" s="10"/>
      <c r="K469" s="10"/>
      <c r="L469" s="10"/>
      <c r="M469" s="46"/>
      <c r="N469" s="33"/>
    </row>
    <row r="470" spans="1:14" s="56" customFormat="1" ht="15.75" customHeight="1">
      <c r="A470" s="69"/>
      <c r="B470" s="174"/>
      <c r="C470" s="10"/>
      <c r="D470" s="10"/>
      <c r="E470" s="10"/>
      <c r="F470" s="10"/>
      <c r="G470" s="249"/>
      <c r="H470" s="10"/>
      <c r="I470" s="10"/>
      <c r="J470" s="10"/>
      <c r="K470" s="10"/>
      <c r="L470" s="10"/>
      <c r="M470" s="46"/>
      <c r="N470" s="33"/>
    </row>
    <row r="471" spans="1:14" s="56" customFormat="1" ht="36" customHeight="1">
      <c r="A471" s="69">
        <v>6</v>
      </c>
      <c r="B471" s="78" t="s">
        <v>304</v>
      </c>
      <c r="C471" s="304">
        <v>281</v>
      </c>
      <c r="D471" s="304">
        <v>281</v>
      </c>
      <c r="E471" s="304">
        <v>248</v>
      </c>
      <c r="F471" s="304">
        <f>D471-E471</f>
        <v>33</v>
      </c>
      <c r="G471" s="377">
        <f>SUM(H471:M471)</f>
        <v>2</v>
      </c>
      <c r="H471" s="304"/>
      <c r="I471" s="304"/>
      <c r="J471" s="304">
        <v>0</v>
      </c>
      <c r="K471" s="304"/>
      <c r="L471" s="304">
        <v>2</v>
      </c>
      <c r="M471" s="335">
        <v>0</v>
      </c>
      <c r="N471" s="305" t="s">
        <v>32</v>
      </c>
    </row>
    <row r="472" spans="1:14" s="56" customFormat="1" ht="36" customHeight="1">
      <c r="A472" s="69"/>
      <c r="B472" s="174" t="s">
        <v>207</v>
      </c>
      <c r="C472" s="304">
        <v>240</v>
      </c>
      <c r="D472" s="304">
        <v>240</v>
      </c>
      <c r="E472" s="304">
        <v>229</v>
      </c>
      <c r="F472" s="304">
        <f>D472-E472</f>
        <v>11</v>
      </c>
      <c r="G472" s="377">
        <f>SUM(H472:M472)</f>
        <v>0</v>
      </c>
      <c r="H472" s="304"/>
      <c r="I472" s="304"/>
      <c r="J472" s="304">
        <v>0</v>
      </c>
      <c r="K472" s="304"/>
      <c r="L472" s="304">
        <v>0</v>
      </c>
      <c r="M472" s="335">
        <v>0</v>
      </c>
      <c r="N472" s="305"/>
    </row>
    <row r="473" spans="1:14" s="56" customFormat="1" ht="20.25" customHeight="1">
      <c r="A473" s="69"/>
      <c r="B473" s="174"/>
      <c r="C473" s="10"/>
      <c r="D473" s="10"/>
      <c r="E473" s="10"/>
      <c r="F473" s="10"/>
      <c r="G473" s="249"/>
      <c r="H473" s="10"/>
      <c r="I473" s="10"/>
      <c r="J473" s="10"/>
      <c r="K473" s="10"/>
      <c r="L473" s="10"/>
      <c r="M473" s="46"/>
      <c r="N473" s="33"/>
    </row>
    <row r="474" spans="1:14" s="56" customFormat="1" ht="20.25" customHeight="1">
      <c r="A474" s="69"/>
      <c r="B474" s="174"/>
      <c r="C474" s="10"/>
      <c r="D474" s="10"/>
      <c r="E474" s="10"/>
      <c r="F474" s="10"/>
      <c r="G474" s="249"/>
      <c r="H474" s="10"/>
      <c r="I474" s="10"/>
      <c r="J474" s="10"/>
      <c r="K474" s="10"/>
      <c r="L474" s="10"/>
      <c r="M474" s="46"/>
      <c r="N474" s="33"/>
    </row>
    <row r="475" spans="1:14" s="56" customFormat="1" ht="43.5" customHeight="1">
      <c r="A475" s="69">
        <v>7</v>
      </c>
      <c r="B475" s="78" t="s">
        <v>305</v>
      </c>
      <c r="C475" s="304">
        <v>157</v>
      </c>
      <c r="D475" s="304">
        <v>157</v>
      </c>
      <c r="E475" s="304">
        <v>99</v>
      </c>
      <c r="F475" s="304">
        <f>D475-E475</f>
        <v>58</v>
      </c>
      <c r="G475" s="377">
        <f>SUM(H475:M475)</f>
        <v>1</v>
      </c>
      <c r="H475" s="304"/>
      <c r="I475" s="304"/>
      <c r="J475" s="304">
        <v>0</v>
      </c>
      <c r="K475" s="304"/>
      <c r="L475" s="304">
        <v>1</v>
      </c>
      <c r="M475" s="335">
        <v>0</v>
      </c>
      <c r="N475" s="305" t="s">
        <v>32</v>
      </c>
    </row>
    <row r="476" spans="1:14" s="56" customFormat="1" ht="43.5" customHeight="1">
      <c r="A476" s="69"/>
      <c r="B476" s="174" t="s">
        <v>207</v>
      </c>
      <c r="C476" s="304">
        <v>134</v>
      </c>
      <c r="D476" s="304">
        <v>134</v>
      </c>
      <c r="E476" s="304">
        <v>89</v>
      </c>
      <c r="F476" s="304">
        <f>D476-E476</f>
        <v>45</v>
      </c>
      <c r="G476" s="377">
        <f>SUM(H476:M476)</f>
        <v>0</v>
      </c>
      <c r="H476" s="304"/>
      <c r="I476" s="304"/>
      <c r="J476" s="304">
        <v>0</v>
      </c>
      <c r="K476" s="304"/>
      <c r="L476" s="304">
        <v>0</v>
      </c>
      <c r="M476" s="335">
        <v>0</v>
      </c>
      <c r="N476" s="305"/>
    </row>
    <row r="477" spans="1:14" s="56" customFormat="1" ht="15" customHeight="1">
      <c r="A477" s="69"/>
      <c r="B477" s="174"/>
      <c r="C477" s="10"/>
      <c r="D477" s="10"/>
      <c r="E477" s="10"/>
      <c r="F477" s="10"/>
      <c r="G477" s="249"/>
      <c r="H477" s="10"/>
      <c r="I477" s="10"/>
      <c r="J477" s="10"/>
      <c r="K477" s="10"/>
      <c r="L477" s="10"/>
      <c r="M477" s="46"/>
      <c r="N477" s="33"/>
    </row>
    <row r="478" spans="1:13" ht="29.25" customHeight="1">
      <c r="A478" s="28" t="s">
        <v>4</v>
      </c>
      <c r="B478" s="47" t="s">
        <v>10</v>
      </c>
      <c r="C478" s="27">
        <f>C482+C486+C490+C494+C498+C502+C506+C510+C514+C518+C522+C526+C530+C534+C538+C542+C546+C550+C554+C558+C561</f>
        <v>43089</v>
      </c>
      <c r="D478" s="27">
        <f aca="true" t="shared" si="65" ref="D478:M478">D482+D486+D490+D494+D498+D502+D506+D510+D514+D518+D522+D526+D530+D534+D538+D542+D546+D550+D554+D558+D561</f>
        <v>45404</v>
      </c>
      <c r="E478" s="27">
        <f t="shared" si="65"/>
        <v>6378</v>
      </c>
      <c r="F478" s="27">
        <f t="shared" si="65"/>
        <v>39026</v>
      </c>
      <c r="G478" s="376">
        <f t="shared" si="65"/>
        <v>29476</v>
      </c>
      <c r="H478" s="27">
        <f t="shared" si="65"/>
        <v>0</v>
      </c>
      <c r="I478" s="27">
        <f t="shared" si="65"/>
        <v>0</v>
      </c>
      <c r="J478" s="27">
        <f t="shared" si="65"/>
        <v>0</v>
      </c>
      <c r="K478" s="27">
        <f t="shared" si="65"/>
        <v>0</v>
      </c>
      <c r="L478" s="27">
        <f t="shared" si="65"/>
        <v>29476</v>
      </c>
      <c r="M478" s="27">
        <f t="shared" si="65"/>
        <v>0</v>
      </c>
    </row>
    <row r="479" spans="1:13" ht="29.25" customHeight="1">
      <c r="A479" s="28"/>
      <c r="B479" s="48" t="s">
        <v>5</v>
      </c>
      <c r="C479" s="27">
        <f>C483+C487+C491+C495+C499+C503+C507+C511+C515+C519+C523+C527+C531+C535+C539+C543+C547+C551+C555+C559+C562</f>
        <v>34623</v>
      </c>
      <c r="D479" s="27">
        <f aca="true" t="shared" si="66" ref="D479:M479">D483+D487+D491+D495+D499+D503+D507+D511+D515+D519+D523+D527+D531+D535+D539+D543+D547+D551+D555+D559+D562</f>
        <v>36711</v>
      </c>
      <c r="E479" s="27">
        <f t="shared" si="66"/>
        <v>5161</v>
      </c>
      <c r="F479" s="27">
        <f t="shared" si="66"/>
        <v>31550</v>
      </c>
      <c r="G479" s="376">
        <f t="shared" si="66"/>
        <v>26014</v>
      </c>
      <c r="H479" s="27">
        <f t="shared" si="66"/>
        <v>0</v>
      </c>
      <c r="I479" s="27">
        <f t="shared" si="66"/>
        <v>0</v>
      </c>
      <c r="J479" s="27">
        <f t="shared" si="66"/>
        <v>0</v>
      </c>
      <c r="K479" s="27">
        <f t="shared" si="66"/>
        <v>0</v>
      </c>
      <c r="L479" s="27">
        <f t="shared" si="66"/>
        <v>26014</v>
      </c>
      <c r="M479" s="27">
        <f t="shared" si="66"/>
        <v>0</v>
      </c>
    </row>
    <row r="480" spans="1:13" ht="13.5" customHeight="1">
      <c r="A480" s="28"/>
      <c r="B480" s="43"/>
      <c r="C480" s="61"/>
      <c r="D480" s="61"/>
      <c r="E480" s="61"/>
      <c r="F480" s="61"/>
      <c r="G480" s="61"/>
      <c r="H480" s="61"/>
      <c r="I480" s="61"/>
      <c r="J480" s="61"/>
      <c r="K480" s="61"/>
      <c r="L480" s="61"/>
      <c r="M480" s="61"/>
    </row>
    <row r="481" spans="1:13" ht="13.5" customHeight="1">
      <c r="A481" s="28"/>
      <c r="B481" s="43"/>
      <c r="C481" s="61"/>
      <c r="D481" s="61"/>
      <c r="E481" s="61"/>
      <c r="F481" s="61"/>
      <c r="G481" s="61"/>
      <c r="H481" s="61"/>
      <c r="I481" s="61"/>
      <c r="J481" s="61"/>
      <c r="K481" s="61"/>
      <c r="L481" s="61"/>
      <c r="M481" s="61"/>
    </row>
    <row r="482" spans="1:14" ht="23.25" customHeight="1">
      <c r="A482" s="69">
        <v>1</v>
      </c>
      <c r="B482" s="78" t="s">
        <v>528</v>
      </c>
      <c r="C482" s="11">
        <v>336</v>
      </c>
      <c r="D482" s="11">
        <f>C482</f>
        <v>336</v>
      </c>
      <c r="E482" s="11">
        <v>0</v>
      </c>
      <c r="F482" s="11">
        <f>D482-E482</f>
        <v>336</v>
      </c>
      <c r="G482" s="377">
        <f>SUM(H482:M482)</f>
        <v>336</v>
      </c>
      <c r="H482" s="11"/>
      <c r="I482" s="11"/>
      <c r="J482" s="11">
        <v>0</v>
      </c>
      <c r="K482" s="11"/>
      <c r="L482" s="11">
        <v>336</v>
      </c>
      <c r="M482" s="57">
        <v>0</v>
      </c>
      <c r="N482" s="33" t="s">
        <v>32</v>
      </c>
    </row>
    <row r="483" spans="1:13" ht="23.25" customHeight="1">
      <c r="A483" s="69"/>
      <c r="B483" s="174" t="s">
        <v>529</v>
      </c>
      <c r="C483" s="11">
        <v>293</v>
      </c>
      <c r="D483" s="11">
        <f>C483</f>
        <v>293</v>
      </c>
      <c r="E483" s="11">
        <v>0</v>
      </c>
      <c r="F483" s="11">
        <f>D483-E483</f>
        <v>293</v>
      </c>
      <c r="G483" s="377">
        <f>SUM(H483:M483)</f>
        <v>293</v>
      </c>
      <c r="H483" s="11"/>
      <c r="I483" s="11"/>
      <c r="J483" s="11">
        <v>0</v>
      </c>
      <c r="K483" s="11"/>
      <c r="L483" s="11">
        <v>293</v>
      </c>
      <c r="M483" s="57">
        <v>0</v>
      </c>
    </row>
    <row r="484" spans="1:13" ht="13.5" customHeight="1">
      <c r="A484" s="28"/>
      <c r="B484" s="43"/>
      <c r="C484" s="61"/>
      <c r="D484" s="61"/>
      <c r="E484" s="61"/>
      <c r="F484" s="61"/>
      <c r="G484" s="61"/>
      <c r="H484" s="61"/>
      <c r="I484" s="61"/>
      <c r="J484" s="61"/>
      <c r="K484" s="61"/>
      <c r="L484" s="61"/>
      <c r="M484" s="61"/>
    </row>
    <row r="485" spans="1:13" ht="13.5" customHeight="1">
      <c r="A485" s="28"/>
      <c r="B485" s="43"/>
      <c r="C485" s="61"/>
      <c r="D485" s="61"/>
      <c r="E485" s="61"/>
      <c r="F485" s="61"/>
      <c r="G485" s="61"/>
      <c r="H485" s="61"/>
      <c r="I485" s="61"/>
      <c r="J485" s="61"/>
      <c r="K485" s="61"/>
      <c r="L485" s="61"/>
      <c r="M485" s="61"/>
    </row>
    <row r="486" spans="1:14" ht="22.5" customHeight="1">
      <c r="A486" s="69">
        <v>2</v>
      </c>
      <c r="B486" s="78" t="s">
        <v>530</v>
      </c>
      <c r="C486" s="11">
        <v>331</v>
      </c>
      <c r="D486" s="11">
        <f>C486</f>
        <v>331</v>
      </c>
      <c r="E486" s="11">
        <v>0</v>
      </c>
      <c r="F486" s="11">
        <f>D486-E486</f>
        <v>331</v>
      </c>
      <c r="G486" s="377">
        <f>SUM(H486:M486)</f>
        <v>331</v>
      </c>
      <c r="H486" s="11"/>
      <c r="I486" s="11"/>
      <c r="J486" s="11">
        <v>0</v>
      </c>
      <c r="K486" s="11"/>
      <c r="L486" s="11">
        <v>331</v>
      </c>
      <c r="M486" s="57">
        <v>0</v>
      </c>
      <c r="N486" s="33" t="s">
        <v>32</v>
      </c>
    </row>
    <row r="487" spans="1:13" ht="22.5" customHeight="1">
      <c r="A487" s="69"/>
      <c r="B487" s="174" t="s">
        <v>529</v>
      </c>
      <c r="C487" s="11">
        <v>290</v>
      </c>
      <c r="D487" s="11">
        <f>C487</f>
        <v>290</v>
      </c>
      <c r="E487" s="11">
        <v>0</v>
      </c>
      <c r="F487" s="11">
        <f>D487-E487</f>
        <v>290</v>
      </c>
      <c r="G487" s="377">
        <f>SUM(H487:M487)</f>
        <v>290</v>
      </c>
      <c r="H487" s="11"/>
      <c r="I487" s="11"/>
      <c r="J487" s="11">
        <v>0</v>
      </c>
      <c r="K487" s="11"/>
      <c r="L487" s="11">
        <v>290</v>
      </c>
      <c r="M487" s="57">
        <v>0</v>
      </c>
    </row>
    <row r="488" spans="1:13" ht="13.5" customHeight="1">
      <c r="A488" s="28"/>
      <c r="B488" s="43"/>
      <c r="C488" s="61"/>
      <c r="D488" s="61"/>
      <c r="E488" s="61"/>
      <c r="F488" s="61"/>
      <c r="G488" s="61"/>
      <c r="H488" s="61"/>
      <c r="I488" s="61"/>
      <c r="J488" s="61"/>
      <c r="K488" s="61"/>
      <c r="L488" s="61"/>
      <c r="M488" s="61"/>
    </row>
    <row r="489" spans="1:13" ht="13.5" customHeight="1">
      <c r="A489" s="28"/>
      <c r="B489" s="43"/>
      <c r="C489" s="61"/>
      <c r="D489" s="61"/>
      <c r="E489" s="61"/>
      <c r="F489" s="61"/>
      <c r="G489" s="61"/>
      <c r="H489" s="61"/>
      <c r="I489" s="61"/>
      <c r="J489" s="61"/>
      <c r="K489" s="61"/>
      <c r="L489" s="61"/>
      <c r="M489" s="61"/>
    </row>
    <row r="490" spans="1:14" ht="20.25" customHeight="1">
      <c r="A490" s="69">
        <v>3</v>
      </c>
      <c r="B490" s="78" t="s">
        <v>531</v>
      </c>
      <c r="C490" s="11">
        <v>331</v>
      </c>
      <c r="D490" s="11">
        <f>C490</f>
        <v>331</v>
      </c>
      <c r="E490" s="11">
        <v>0</v>
      </c>
      <c r="F490" s="11">
        <f>D490-E490</f>
        <v>331</v>
      </c>
      <c r="G490" s="377">
        <f>SUM(H490:M490)</f>
        <v>331</v>
      </c>
      <c r="H490" s="11"/>
      <c r="I490" s="11"/>
      <c r="J490" s="11">
        <v>0</v>
      </c>
      <c r="K490" s="11"/>
      <c r="L490" s="11">
        <v>331</v>
      </c>
      <c r="M490" s="57">
        <v>0</v>
      </c>
      <c r="N490" s="33" t="s">
        <v>32</v>
      </c>
    </row>
    <row r="491" spans="1:13" ht="20.25" customHeight="1">
      <c r="A491" s="69"/>
      <c r="B491" s="174" t="s">
        <v>529</v>
      </c>
      <c r="C491" s="11">
        <v>290</v>
      </c>
      <c r="D491" s="11">
        <f>C491</f>
        <v>290</v>
      </c>
      <c r="E491" s="11">
        <v>0</v>
      </c>
      <c r="F491" s="11">
        <f>D491-E491</f>
        <v>290</v>
      </c>
      <c r="G491" s="377">
        <f>SUM(H491:M491)</f>
        <v>290</v>
      </c>
      <c r="H491" s="11"/>
      <c r="I491" s="11"/>
      <c r="J491" s="11">
        <v>0</v>
      </c>
      <c r="K491" s="11"/>
      <c r="L491" s="11">
        <v>290</v>
      </c>
      <c r="M491" s="57">
        <v>0</v>
      </c>
    </row>
    <row r="492" spans="1:13" ht="13.5" customHeight="1">
      <c r="A492" s="28"/>
      <c r="B492" s="43"/>
      <c r="C492" s="61"/>
      <c r="D492" s="61"/>
      <c r="E492" s="61"/>
      <c r="F492" s="61"/>
      <c r="G492" s="61"/>
      <c r="H492" s="61"/>
      <c r="I492" s="61"/>
      <c r="J492" s="61"/>
      <c r="K492" s="61"/>
      <c r="L492" s="61"/>
      <c r="M492" s="61"/>
    </row>
    <row r="493" spans="1:13" ht="13.5" customHeight="1">
      <c r="A493" s="28"/>
      <c r="B493" s="43"/>
      <c r="C493" s="61"/>
      <c r="D493" s="61"/>
      <c r="E493" s="61"/>
      <c r="F493" s="61"/>
      <c r="G493" s="61"/>
      <c r="H493" s="61"/>
      <c r="I493" s="61"/>
      <c r="J493" s="61"/>
      <c r="K493" s="61"/>
      <c r="L493" s="61"/>
      <c r="M493" s="61"/>
    </row>
    <row r="494" spans="1:14" ht="55.5">
      <c r="A494" s="69">
        <v>4</v>
      </c>
      <c r="B494" s="78" t="s">
        <v>513</v>
      </c>
      <c r="C494" s="11">
        <v>6380</v>
      </c>
      <c r="D494" s="11">
        <f>C494</f>
        <v>6380</v>
      </c>
      <c r="E494" s="11">
        <v>0</v>
      </c>
      <c r="F494" s="11">
        <f>D494-E494</f>
        <v>6380</v>
      </c>
      <c r="G494" s="377">
        <f>SUM(H494:M494)</f>
        <v>2000</v>
      </c>
      <c r="H494" s="11"/>
      <c r="I494" s="11"/>
      <c r="J494" s="11">
        <v>0</v>
      </c>
      <c r="K494" s="11"/>
      <c r="L494" s="11">
        <v>2000</v>
      </c>
      <c r="M494" s="57">
        <v>0</v>
      </c>
      <c r="N494" s="33" t="s">
        <v>32</v>
      </c>
    </row>
    <row r="495" spans="1:13" ht="19.5" customHeight="1">
      <c r="A495" s="69"/>
      <c r="B495" s="174" t="s">
        <v>514</v>
      </c>
      <c r="C495" s="11">
        <v>4351</v>
      </c>
      <c r="D495" s="11">
        <f>C495</f>
        <v>4351</v>
      </c>
      <c r="E495" s="11">
        <v>0</v>
      </c>
      <c r="F495" s="11">
        <f>D495-E495</f>
        <v>4351</v>
      </c>
      <c r="G495" s="377">
        <f>SUM(H495:M495)</f>
        <v>1750</v>
      </c>
      <c r="H495" s="11"/>
      <c r="I495" s="11"/>
      <c r="J495" s="11">
        <v>0</v>
      </c>
      <c r="K495" s="11"/>
      <c r="L495" s="11">
        <v>1750</v>
      </c>
      <c r="M495" s="57">
        <v>0</v>
      </c>
    </row>
    <row r="496" spans="1:14" ht="11.25" customHeight="1">
      <c r="A496" s="270"/>
      <c r="B496" s="271"/>
      <c r="C496" s="262"/>
      <c r="D496" s="262"/>
      <c r="E496" s="262"/>
      <c r="F496" s="262"/>
      <c r="G496" s="374"/>
      <c r="H496" s="262"/>
      <c r="I496" s="262"/>
      <c r="J496" s="262"/>
      <c r="K496" s="262"/>
      <c r="L496" s="262"/>
      <c r="M496" s="282"/>
      <c r="N496" s="268"/>
    </row>
    <row r="497" spans="1:14" ht="11.25" customHeight="1">
      <c r="A497" s="270"/>
      <c r="B497" s="271"/>
      <c r="C497" s="262"/>
      <c r="D497" s="262"/>
      <c r="E497" s="262"/>
      <c r="F497" s="262"/>
      <c r="G497" s="374"/>
      <c r="H497" s="262"/>
      <c r="I497" s="262"/>
      <c r="J497" s="262"/>
      <c r="K497" s="262"/>
      <c r="L497" s="262"/>
      <c r="M497" s="282"/>
      <c r="N497" s="268"/>
    </row>
    <row r="498" spans="1:14" ht="55.5">
      <c r="A498" s="69">
        <v>5</v>
      </c>
      <c r="B498" s="78" t="s">
        <v>553</v>
      </c>
      <c r="C498" s="11">
        <v>3288</v>
      </c>
      <c r="D498" s="11">
        <f>C498</f>
        <v>3288</v>
      </c>
      <c r="E498" s="11">
        <v>0</v>
      </c>
      <c r="F498" s="11">
        <f>D498-E498</f>
        <v>3288</v>
      </c>
      <c r="G498" s="377">
        <f>SUM(H498:M498)</f>
        <v>3288</v>
      </c>
      <c r="H498" s="11"/>
      <c r="I498" s="11"/>
      <c r="J498" s="11">
        <v>0</v>
      </c>
      <c r="K498" s="11"/>
      <c r="L498" s="11">
        <v>3288</v>
      </c>
      <c r="M498" s="57">
        <v>0</v>
      </c>
      <c r="N498" s="33" t="s">
        <v>32</v>
      </c>
    </row>
    <row r="499" spans="1:13" ht="24.75" customHeight="1">
      <c r="A499" s="69"/>
      <c r="B499" s="174" t="s">
        <v>526</v>
      </c>
      <c r="C499" s="11">
        <v>2812</v>
      </c>
      <c r="D499" s="11">
        <f>C499</f>
        <v>2812</v>
      </c>
      <c r="E499" s="11">
        <v>0</v>
      </c>
      <c r="F499" s="11">
        <f>D499-E499</f>
        <v>2812</v>
      </c>
      <c r="G499" s="377">
        <f>SUM(H499:M499)</f>
        <v>2812</v>
      </c>
      <c r="H499" s="11"/>
      <c r="I499" s="11"/>
      <c r="J499" s="11">
        <v>0</v>
      </c>
      <c r="K499" s="11"/>
      <c r="L499" s="11">
        <v>2812</v>
      </c>
      <c r="M499" s="57">
        <v>0</v>
      </c>
    </row>
    <row r="500" spans="1:14" ht="11.25" customHeight="1">
      <c r="A500" s="270"/>
      <c r="B500" s="271"/>
      <c r="C500" s="262"/>
      <c r="D500" s="262"/>
      <c r="E500" s="262"/>
      <c r="F500" s="262"/>
      <c r="G500" s="374"/>
      <c r="H500" s="262"/>
      <c r="I500" s="262"/>
      <c r="J500" s="262"/>
      <c r="K500" s="262"/>
      <c r="L500" s="262"/>
      <c r="M500" s="282"/>
      <c r="N500" s="268"/>
    </row>
    <row r="501" spans="1:14" ht="11.25" customHeight="1">
      <c r="A501" s="270"/>
      <c r="B501" s="271"/>
      <c r="C501" s="262"/>
      <c r="D501" s="262"/>
      <c r="E501" s="262"/>
      <c r="F501" s="262"/>
      <c r="G501" s="374"/>
      <c r="H501" s="262"/>
      <c r="I501" s="262"/>
      <c r="J501" s="262"/>
      <c r="K501" s="262"/>
      <c r="L501" s="262"/>
      <c r="M501" s="282"/>
      <c r="N501" s="268"/>
    </row>
    <row r="502" spans="1:14" ht="42">
      <c r="A502" s="69">
        <v>6</v>
      </c>
      <c r="B502" s="78" t="s">
        <v>525</v>
      </c>
      <c r="C502" s="11">
        <v>5171</v>
      </c>
      <c r="D502" s="11">
        <f>C502</f>
        <v>5171</v>
      </c>
      <c r="E502" s="11">
        <v>0</v>
      </c>
      <c r="F502" s="11">
        <f>D502-E502</f>
        <v>5171</v>
      </c>
      <c r="G502" s="377">
        <f>SUM(H502:M502)</f>
        <v>5171</v>
      </c>
      <c r="H502" s="11"/>
      <c r="I502" s="11"/>
      <c r="J502" s="11">
        <v>0</v>
      </c>
      <c r="K502" s="11"/>
      <c r="L502" s="11">
        <v>5171</v>
      </c>
      <c r="M502" s="57">
        <v>0</v>
      </c>
      <c r="N502" s="33" t="s">
        <v>32</v>
      </c>
    </row>
    <row r="503" spans="1:13" ht="19.5" customHeight="1">
      <c r="A503" s="69"/>
      <c r="B503" s="174" t="s">
        <v>524</v>
      </c>
      <c r="C503" s="11">
        <v>4514</v>
      </c>
      <c r="D503" s="11">
        <f>C503</f>
        <v>4514</v>
      </c>
      <c r="E503" s="11">
        <v>0</v>
      </c>
      <c r="F503" s="11">
        <f>D503-E503</f>
        <v>4514</v>
      </c>
      <c r="G503" s="377">
        <f>SUM(H503:M503)</f>
        <v>4514</v>
      </c>
      <c r="H503" s="11"/>
      <c r="I503" s="11"/>
      <c r="J503" s="11">
        <v>0</v>
      </c>
      <c r="K503" s="11"/>
      <c r="L503" s="11">
        <v>4514</v>
      </c>
      <c r="M503" s="57">
        <v>0</v>
      </c>
    </row>
    <row r="504" spans="1:14" ht="13.5" customHeight="1">
      <c r="A504" s="270"/>
      <c r="B504" s="271"/>
      <c r="C504" s="262"/>
      <c r="D504" s="262"/>
      <c r="E504" s="262"/>
      <c r="F504" s="262"/>
      <c r="G504" s="374"/>
      <c r="H504" s="262"/>
      <c r="I504" s="262"/>
      <c r="J504" s="262"/>
      <c r="K504" s="262"/>
      <c r="L504" s="262"/>
      <c r="M504" s="282"/>
      <c r="N504" s="268"/>
    </row>
    <row r="505" spans="1:14" ht="13.5" customHeight="1">
      <c r="A505" s="270"/>
      <c r="B505" s="271"/>
      <c r="C505" s="262"/>
      <c r="D505" s="262"/>
      <c r="E505" s="262"/>
      <c r="F505" s="262"/>
      <c r="G505" s="374"/>
      <c r="H505" s="262"/>
      <c r="I505" s="262"/>
      <c r="J505" s="262"/>
      <c r="K505" s="262"/>
      <c r="L505" s="262"/>
      <c r="M505" s="282"/>
      <c r="N505" s="268"/>
    </row>
    <row r="506" spans="1:14" ht="42">
      <c r="A506" s="69">
        <v>7</v>
      </c>
      <c r="B506" s="78" t="s">
        <v>552</v>
      </c>
      <c r="C506" s="11">
        <v>9399</v>
      </c>
      <c r="D506" s="11">
        <f>C506</f>
        <v>9399</v>
      </c>
      <c r="E506" s="11">
        <v>0</v>
      </c>
      <c r="F506" s="11">
        <f>D506-E506</f>
        <v>9399</v>
      </c>
      <c r="G506" s="377">
        <f>SUM(H506:M506)</f>
        <v>5000</v>
      </c>
      <c r="H506" s="11"/>
      <c r="I506" s="11"/>
      <c r="J506" s="11">
        <v>0</v>
      </c>
      <c r="K506" s="11"/>
      <c r="L506" s="11">
        <v>5000</v>
      </c>
      <c r="M506" s="57">
        <v>0</v>
      </c>
      <c r="N506" s="33" t="s">
        <v>32</v>
      </c>
    </row>
    <row r="507" spans="1:13" ht="19.5" customHeight="1">
      <c r="A507" s="69"/>
      <c r="B507" s="174" t="s">
        <v>516</v>
      </c>
      <c r="C507" s="11">
        <v>6483</v>
      </c>
      <c r="D507" s="11">
        <f>C507</f>
        <v>6483</v>
      </c>
      <c r="E507" s="11">
        <v>0</v>
      </c>
      <c r="F507" s="11">
        <f>D507-E507</f>
        <v>6483</v>
      </c>
      <c r="G507" s="377">
        <f>SUM(H507:M507)</f>
        <v>4750</v>
      </c>
      <c r="H507" s="11"/>
      <c r="I507" s="11"/>
      <c r="J507" s="11">
        <v>0</v>
      </c>
      <c r="K507" s="11"/>
      <c r="L507" s="11">
        <v>4750</v>
      </c>
      <c r="M507" s="57">
        <v>0</v>
      </c>
    </row>
    <row r="508" spans="1:13" ht="18" customHeight="1">
      <c r="A508" s="28"/>
      <c r="B508" s="43"/>
      <c r="C508" s="61"/>
      <c r="D508" s="61"/>
      <c r="E508" s="61"/>
      <c r="F508" s="61"/>
      <c r="G508" s="61"/>
      <c r="H508" s="61"/>
      <c r="I508" s="61"/>
      <c r="J508" s="61"/>
      <c r="K508" s="61"/>
      <c r="L508" s="61"/>
      <c r="M508" s="61"/>
    </row>
    <row r="509" spans="1:13" ht="17.25" customHeight="1">
      <c r="A509" s="28"/>
      <c r="B509" s="43"/>
      <c r="C509" s="61"/>
      <c r="D509" s="61"/>
      <c r="E509" s="61"/>
      <c r="F509" s="61"/>
      <c r="G509" s="61"/>
      <c r="H509" s="61"/>
      <c r="I509" s="61"/>
      <c r="J509" s="61"/>
      <c r="K509" s="61"/>
      <c r="L509" s="61"/>
      <c r="M509" s="61"/>
    </row>
    <row r="510" spans="1:14" ht="24" customHeight="1">
      <c r="A510" s="69">
        <v>8</v>
      </c>
      <c r="B510" s="78" t="s">
        <v>307</v>
      </c>
      <c r="C510" s="11">
        <v>806</v>
      </c>
      <c r="D510" s="11">
        <f>C510</f>
        <v>806</v>
      </c>
      <c r="E510" s="11">
        <v>0</v>
      </c>
      <c r="F510" s="11">
        <f>D510-E510</f>
        <v>806</v>
      </c>
      <c r="G510" s="377">
        <f>SUM(H510:M510)</f>
        <v>806</v>
      </c>
      <c r="H510" s="11"/>
      <c r="I510" s="11"/>
      <c r="J510" s="11">
        <v>0</v>
      </c>
      <c r="K510" s="11"/>
      <c r="L510" s="11">
        <v>806</v>
      </c>
      <c r="M510" s="57">
        <v>0</v>
      </c>
      <c r="N510" s="33" t="s">
        <v>32</v>
      </c>
    </row>
    <row r="511" spans="1:13" ht="19.5" customHeight="1">
      <c r="A511" s="69"/>
      <c r="B511" s="174" t="s">
        <v>527</v>
      </c>
      <c r="C511" s="11">
        <v>707</v>
      </c>
      <c r="D511" s="11">
        <f>C511</f>
        <v>707</v>
      </c>
      <c r="E511" s="11">
        <v>0</v>
      </c>
      <c r="F511" s="11">
        <f>D511-E511</f>
        <v>707</v>
      </c>
      <c r="G511" s="377">
        <f>SUM(H511:M511)</f>
        <v>707</v>
      </c>
      <c r="H511" s="11"/>
      <c r="I511" s="11"/>
      <c r="J511" s="11">
        <v>0</v>
      </c>
      <c r="K511" s="11"/>
      <c r="L511" s="11">
        <v>707</v>
      </c>
      <c r="M511" s="57">
        <v>0</v>
      </c>
    </row>
    <row r="512" spans="1:13" ht="17.25" customHeight="1">
      <c r="A512" s="28"/>
      <c r="B512" s="43"/>
      <c r="C512" s="61"/>
      <c r="D512" s="61"/>
      <c r="E512" s="61"/>
      <c r="F512" s="61"/>
      <c r="G512" s="61"/>
      <c r="H512" s="61"/>
      <c r="I512" s="61"/>
      <c r="J512" s="61"/>
      <c r="K512" s="61"/>
      <c r="L512" s="61"/>
      <c r="M512" s="61"/>
    </row>
    <row r="513" spans="1:13" ht="17.25" customHeight="1">
      <c r="A513" s="28"/>
      <c r="B513" s="43"/>
      <c r="C513" s="61"/>
      <c r="D513" s="61"/>
      <c r="E513" s="61"/>
      <c r="F513" s="61"/>
      <c r="G513" s="61"/>
      <c r="H513" s="61"/>
      <c r="I513" s="61"/>
      <c r="J513" s="61"/>
      <c r="K513" s="61"/>
      <c r="L513" s="61"/>
      <c r="M513" s="61"/>
    </row>
    <row r="514" spans="1:14" ht="24" customHeight="1">
      <c r="A514" s="69">
        <v>9</v>
      </c>
      <c r="B514" s="78" t="s">
        <v>308</v>
      </c>
      <c r="C514" s="11">
        <v>327</v>
      </c>
      <c r="D514" s="11">
        <f>C514</f>
        <v>327</v>
      </c>
      <c r="E514" s="11">
        <v>0</v>
      </c>
      <c r="F514" s="11">
        <f>D514-E514</f>
        <v>327</v>
      </c>
      <c r="G514" s="377">
        <f>SUM(H514:M514)</f>
        <v>327</v>
      </c>
      <c r="H514" s="11"/>
      <c r="I514" s="11"/>
      <c r="J514" s="11">
        <v>0</v>
      </c>
      <c r="K514" s="11"/>
      <c r="L514" s="11">
        <v>327</v>
      </c>
      <c r="M514" s="57">
        <v>0</v>
      </c>
      <c r="N514" s="33" t="s">
        <v>32</v>
      </c>
    </row>
    <row r="515" spans="1:13" ht="18" customHeight="1">
      <c r="A515" s="69"/>
      <c r="B515" s="174" t="s">
        <v>527</v>
      </c>
      <c r="C515" s="11">
        <v>283</v>
      </c>
      <c r="D515" s="11">
        <f>C515</f>
        <v>283</v>
      </c>
      <c r="E515" s="11">
        <v>0</v>
      </c>
      <c r="F515" s="11">
        <f>D515-E515</f>
        <v>283</v>
      </c>
      <c r="G515" s="377">
        <f>SUM(H515:M515)</f>
        <v>283</v>
      </c>
      <c r="H515" s="11"/>
      <c r="I515" s="11"/>
      <c r="J515" s="11">
        <v>0</v>
      </c>
      <c r="K515" s="11"/>
      <c r="L515" s="11">
        <v>283</v>
      </c>
      <c r="M515" s="57">
        <v>0</v>
      </c>
    </row>
    <row r="516" spans="1:13" ht="12" customHeight="1">
      <c r="A516" s="28"/>
      <c r="B516" s="43"/>
      <c r="C516" s="61"/>
      <c r="D516" s="61"/>
      <c r="E516" s="61"/>
      <c r="F516" s="61"/>
      <c r="G516" s="61"/>
      <c r="H516" s="61"/>
      <c r="I516" s="61"/>
      <c r="J516" s="61"/>
      <c r="K516" s="61"/>
      <c r="L516" s="61"/>
      <c r="M516" s="61"/>
    </row>
    <row r="517" spans="1:13" ht="12" customHeight="1">
      <c r="A517" s="28"/>
      <c r="B517" s="43"/>
      <c r="C517" s="61"/>
      <c r="D517" s="61"/>
      <c r="E517" s="61"/>
      <c r="F517" s="61"/>
      <c r="G517" s="61"/>
      <c r="H517" s="61"/>
      <c r="I517" s="61"/>
      <c r="J517" s="61"/>
      <c r="K517" s="61"/>
      <c r="L517" s="61"/>
      <c r="M517" s="61"/>
    </row>
    <row r="518" spans="1:14" s="272" customFormat="1" ht="24" customHeight="1">
      <c r="A518" s="69">
        <v>10</v>
      </c>
      <c r="B518" s="78" t="s">
        <v>309</v>
      </c>
      <c r="C518" s="11">
        <v>220</v>
      </c>
      <c r="D518" s="11">
        <f>C518</f>
        <v>220</v>
      </c>
      <c r="E518" s="11">
        <v>0</v>
      </c>
      <c r="F518" s="11">
        <f>D518-E518</f>
        <v>220</v>
      </c>
      <c r="G518" s="377">
        <f>SUM(H518:M518)</f>
        <v>220</v>
      </c>
      <c r="H518" s="11"/>
      <c r="I518" s="11"/>
      <c r="J518" s="11">
        <v>0</v>
      </c>
      <c r="K518" s="11"/>
      <c r="L518" s="11">
        <v>220</v>
      </c>
      <c r="M518" s="57">
        <v>0</v>
      </c>
      <c r="N518" s="33" t="s">
        <v>32</v>
      </c>
    </row>
    <row r="519" spans="1:14" s="272" customFormat="1" ht="19.5" customHeight="1">
      <c r="A519" s="69"/>
      <c r="B519" s="174" t="s">
        <v>527</v>
      </c>
      <c r="C519" s="11">
        <v>190</v>
      </c>
      <c r="D519" s="11">
        <f>C519</f>
        <v>190</v>
      </c>
      <c r="E519" s="11">
        <v>0</v>
      </c>
      <c r="F519" s="11">
        <f>D519-E519</f>
        <v>190</v>
      </c>
      <c r="G519" s="377">
        <f>SUM(H519:M519)</f>
        <v>190</v>
      </c>
      <c r="H519" s="11"/>
      <c r="I519" s="11"/>
      <c r="J519" s="11">
        <v>0</v>
      </c>
      <c r="K519" s="11"/>
      <c r="L519" s="11">
        <v>190</v>
      </c>
      <c r="M519" s="57">
        <v>0</v>
      </c>
      <c r="N519" s="33"/>
    </row>
    <row r="520" spans="1:13" ht="6.75" customHeight="1">
      <c r="A520" s="28"/>
      <c r="B520" s="43"/>
      <c r="C520" s="61"/>
      <c r="D520" s="61"/>
      <c r="E520" s="61"/>
      <c r="F520" s="61"/>
      <c r="G520" s="61"/>
      <c r="H520" s="61"/>
      <c r="I520" s="61"/>
      <c r="J520" s="61"/>
      <c r="K520" s="61"/>
      <c r="L520" s="61"/>
      <c r="M520" s="61"/>
    </row>
    <row r="521" spans="1:13" ht="6.75" customHeight="1">
      <c r="A521" s="28"/>
      <c r="B521" s="43"/>
      <c r="C521" s="61"/>
      <c r="D521" s="61"/>
      <c r="E521" s="61"/>
      <c r="F521" s="61"/>
      <c r="G521" s="61"/>
      <c r="H521" s="61"/>
      <c r="I521" s="61"/>
      <c r="J521" s="61"/>
      <c r="K521" s="61"/>
      <c r="L521" s="61"/>
      <c r="M521" s="61"/>
    </row>
    <row r="522" spans="1:14" ht="24" customHeight="1">
      <c r="A522" s="69">
        <v>11</v>
      </c>
      <c r="B522" s="78" t="s">
        <v>310</v>
      </c>
      <c r="C522" s="11">
        <v>343</v>
      </c>
      <c r="D522" s="11">
        <f>C522</f>
        <v>343</v>
      </c>
      <c r="E522" s="11">
        <v>0</v>
      </c>
      <c r="F522" s="11">
        <f>D522-E522</f>
        <v>343</v>
      </c>
      <c r="G522" s="377">
        <f>SUM(H522:M522)</f>
        <v>343</v>
      </c>
      <c r="H522" s="11"/>
      <c r="I522" s="11"/>
      <c r="J522" s="11">
        <v>0</v>
      </c>
      <c r="K522" s="11"/>
      <c r="L522" s="11">
        <v>343</v>
      </c>
      <c r="M522" s="57">
        <v>0</v>
      </c>
      <c r="N522" s="33" t="s">
        <v>32</v>
      </c>
    </row>
    <row r="523" spans="1:13" ht="14.25" customHeight="1">
      <c r="A523" s="69"/>
      <c r="B523" s="174" t="s">
        <v>527</v>
      </c>
      <c r="C523" s="11">
        <v>297</v>
      </c>
      <c r="D523" s="11">
        <f>C523</f>
        <v>297</v>
      </c>
      <c r="E523" s="11">
        <v>0</v>
      </c>
      <c r="F523" s="11">
        <f>D523-E523</f>
        <v>297</v>
      </c>
      <c r="G523" s="377">
        <f>SUM(H523:M523)</f>
        <v>297</v>
      </c>
      <c r="H523" s="11"/>
      <c r="I523" s="11"/>
      <c r="J523" s="11">
        <v>0</v>
      </c>
      <c r="K523" s="11"/>
      <c r="L523" s="11">
        <v>297</v>
      </c>
      <c r="M523" s="57">
        <v>0</v>
      </c>
    </row>
    <row r="524" spans="1:13" ht="8.25" customHeight="1">
      <c r="A524" s="28"/>
      <c r="B524" s="43"/>
      <c r="C524" s="61"/>
      <c r="D524" s="61"/>
      <c r="E524" s="61"/>
      <c r="F524" s="61"/>
      <c r="G524" s="61"/>
      <c r="H524" s="61"/>
      <c r="I524" s="61"/>
      <c r="J524" s="61"/>
      <c r="K524" s="61"/>
      <c r="L524" s="61"/>
      <c r="M524" s="61"/>
    </row>
    <row r="525" spans="1:13" ht="8.25" customHeight="1">
      <c r="A525" s="28"/>
      <c r="B525" s="43"/>
      <c r="C525" s="61"/>
      <c r="D525" s="61"/>
      <c r="E525" s="61"/>
      <c r="F525" s="61"/>
      <c r="G525" s="61"/>
      <c r="H525" s="61"/>
      <c r="I525" s="61"/>
      <c r="J525" s="61"/>
      <c r="K525" s="61"/>
      <c r="L525" s="61"/>
      <c r="M525" s="61"/>
    </row>
    <row r="526" spans="1:14" ht="24" customHeight="1">
      <c r="A526" s="69">
        <v>12</v>
      </c>
      <c r="B526" s="78" t="s">
        <v>311</v>
      </c>
      <c r="C526" s="11">
        <v>567</v>
      </c>
      <c r="D526" s="11">
        <f>C526</f>
        <v>567</v>
      </c>
      <c r="E526" s="11">
        <v>0</v>
      </c>
      <c r="F526" s="11">
        <f>D526-E526</f>
        <v>567</v>
      </c>
      <c r="G526" s="377">
        <f>SUM(H526:M526)</f>
        <v>567</v>
      </c>
      <c r="H526" s="11"/>
      <c r="I526" s="11"/>
      <c r="J526" s="11">
        <v>0</v>
      </c>
      <c r="K526" s="11"/>
      <c r="L526" s="11">
        <v>567</v>
      </c>
      <c r="M526" s="57">
        <v>0</v>
      </c>
      <c r="N526" s="33" t="s">
        <v>32</v>
      </c>
    </row>
    <row r="527" spans="1:13" ht="18" customHeight="1">
      <c r="A527" s="69"/>
      <c r="B527" s="174" t="s">
        <v>527</v>
      </c>
      <c r="C527" s="11">
        <v>496</v>
      </c>
      <c r="D527" s="11">
        <f>C527</f>
        <v>496</v>
      </c>
      <c r="E527" s="11">
        <v>0</v>
      </c>
      <c r="F527" s="11">
        <f>D527-E527</f>
        <v>496</v>
      </c>
      <c r="G527" s="377">
        <f>SUM(H527:M527)</f>
        <v>496</v>
      </c>
      <c r="H527" s="11"/>
      <c r="I527" s="11"/>
      <c r="J527" s="11">
        <v>0</v>
      </c>
      <c r="K527" s="11"/>
      <c r="L527" s="11">
        <v>496</v>
      </c>
      <c r="M527" s="57">
        <v>0</v>
      </c>
    </row>
    <row r="528" spans="1:13" ht="9.75" customHeight="1">
      <c r="A528" s="28"/>
      <c r="B528" s="43"/>
      <c r="C528" s="61"/>
      <c r="D528" s="61"/>
      <c r="E528" s="61"/>
      <c r="F528" s="61"/>
      <c r="G528" s="61"/>
      <c r="H528" s="61"/>
      <c r="I528" s="61"/>
      <c r="J528" s="61"/>
      <c r="K528" s="61"/>
      <c r="L528" s="61"/>
      <c r="M528" s="61"/>
    </row>
    <row r="529" spans="1:13" ht="9.75" customHeight="1">
      <c r="A529" s="69"/>
      <c r="B529" s="79"/>
      <c r="C529" s="10"/>
      <c r="D529" s="10"/>
      <c r="E529" s="10"/>
      <c r="F529" s="10"/>
      <c r="G529" s="249"/>
      <c r="H529" s="10"/>
      <c r="I529" s="10"/>
      <c r="J529" s="10"/>
      <c r="K529" s="10"/>
      <c r="L529" s="10"/>
      <c r="M529" s="46"/>
    </row>
    <row r="530" spans="1:14" ht="24" customHeight="1">
      <c r="A530" s="69">
        <v>13</v>
      </c>
      <c r="B530" s="78" t="s">
        <v>312</v>
      </c>
      <c r="C530" s="11">
        <v>261</v>
      </c>
      <c r="D530" s="11">
        <f>C530</f>
        <v>261</v>
      </c>
      <c r="E530" s="11">
        <v>0</v>
      </c>
      <c r="F530" s="11">
        <f>D530-E530</f>
        <v>261</v>
      </c>
      <c r="G530" s="377">
        <f>SUM(H530:M530)</f>
        <v>261</v>
      </c>
      <c r="H530" s="11"/>
      <c r="I530" s="11"/>
      <c r="J530" s="11">
        <v>0</v>
      </c>
      <c r="K530" s="11"/>
      <c r="L530" s="11">
        <v>261</v>
      </c>
      <c r="M530" s="57">
        <v>0</v>
      </c>
      <c r="N530" s="33" t="s">
        <v>32</v>
      </c>
    </row>
    <row r="531" spans="1:13" ht="24" customHeight="1">
      <c r="A531" s="69"/>
      <c r="B531" s="174" t="s">
        <v>527</v>
      </c>
      <c r="C531" s="11">
        <v>226</v>
      </c>
      <c r="D531" s="11">
        <f>C531</f>
        <v>226</v>
      </c>
      <c r="E531" s="11">
        <v>0</v>
      </c>
      <c r="F531" s="11">
        <f>D531-E531</f>
        <v>226</v>
      </c>
      <c r="G531" s="377">
        <f>SUM(H531:M531)</f>
        <v>226</v>
      </c>
      <c r="H531" s="11"/>
      <c r="I531" s="11"/>
      <c r="J531" s="11">
        <v>0</v>
      </c>
      <c r="K531" s="11"/>
      <c r="L531" s="11">
        <v>226</v>
      </c>
      <c r="M531" s="57">
        <v>0</v>
      </c>
    </row>
    <row r="532" spans="1:13" ht="11.25" customHeight="1">
      <c r="A532" s="28"/>
      <c r="B532" s="43"/>
      <c r="C532" s="61"/>
      <c r="D532" s="61"/>
      <c r="E532" s="61"/>
      <c r="F532" s="61"/>
      <c r="G532" s="61"/>
      <c r="H532" s="61"/>
      <c r="I532" s="61"/>
      <c r="J532" s="61"/>
      <c r="K532" s="61"/>
      <c r="L532" s="61"/>
      <c r="M532" s="61"/>
    </row>
    <row r="533" spans="1:13" ht="11.25" customHeight="1">
      <c r="A533" s="28"/>
      <c r="B533" s="43"/>
      <c r="C533" s="61"/>
      <c r="D533" s="61"/>
      <c r="E533" s="61"/>
      <c r="F533" s="61"/>
      <c r="G533" s="61"/>
      <c r="H533" s="61"/>
      <c r="I533" s="61"/>
      <c r="J533" s="61"/>
      <c r="K533" s="61"/>
      <c r="L533" s="61"/>
      <c r="M533" s="61"/>
    </row>
    <row r="534" spans="1:14" ht="24" customHeight="1">
      <c r="A534" s="69">
        <v>14</v>
      </c>
      <c r="B534" s="78" t="s">
        <v>313</v>
      </c>
      <c r="C534" s="11">
        <v>195</v>
      </c>
      <c r="D534" s="11">
        <f>C534</f>
        <v>195</v>
      </c>
      <c r="E534" s="11">
        <v>0</v>
      </c>
      <c r="F534" s="11">
        <f>D534-E534</f>
        <v>195</v>
      </c>
      <c r="G534" s="377">
        <f>SUM(H534:M534)</f>
        <v>195</v>
      </c>
      <c r="H534" s="11"/>
      <c r="I534" s="11"/>
      <c r="J534" s="11">
        <v>0</v>
      </c>
      <c r="K534" s="11"/>
      <c r="L534" s="11">
        <v>195</v>
      </c>
      <c r="M534" s="57">
        <v>0</v>
      </c>
      <c r="N534" s="33" t="s">
        <v>32</v>
      </c>
    </row>
    <row r="535" spans="1:13" ht="18" customHeight="1">
      <c r="A535" s="69"/>
      <c r="B535" s="174" t="s">
        <v>527</v>
      </c>
      <c r="C535" s="11">
        <v>168</v>
      </c>
      <c r="D535" s="11">
        <f>C535</f>
        <v>168</v>
      </c>
      <c r="E535" s="11">
        <v>0</v>
      </c>
      <c r="F535" s="11">
        <f>D535-E535</f>
        <v>168</v>
      </c>
      <c r="G535" s="377">
        <f>SUM(H535:M535)</f>
        <v>168</v>
      </c>
      <c r="H535" s="11"/>
      <c r="I535" s="11"/>
      <c r="J535" s="11">
        <v>0</v>
      </c>
      <c r="K535" s="11"/>
      <c r="L535" s="11">
        <v>168</v>
      </c>
      <c r="M535" s="57">
        <v>0</v>
      </c>
    </row>
    <row r="536" spans="1:13" ht="11.25" customHeight="1">
      <c r="A536" s="28"/>
      <c r="B536" s="43"/>
      <c r="C536" s="61"/>
      <c r="D536" s="61"/>
      <c r="E536" s="61"/>
      <c r="F536" s="61"/>
      <c r="G536" s="61"/>
      <c r="H536" s="61"/>
      <c r="I536" s="61"/>
      <c r="J536" s="61"/>
      <c r="K536" s="61"/>
      <c r="L536" s="61"/>
      <c r="M536" s="61"/>
    </row>
    <row r="537" spans="1:13" ht="11.25" customHeight="1">
      <c r="A537" s="28"/>
      <c r="B537" s="43"/>
      <c r="C537" s="61"/>
      <c r="D537" s="61"/>
      <c r="E537" s="61"/>
      <c r="F537" s="61"/>
      <c r="G537" s="61"/>
      <c r="H537" s="61"/>
      <c r="I537" s="61"/>
      <c r="J537" s="61"/>
      <c r="K537" s="61"/>
      <c r="L537" s="61"/>
      <c r="M537" s="61"/>
    </row>
    <row r="538" spans="1:14" ht="24" customHeight="1">
      <c r="A538" s="69">
        <v>15</v>
      </c>
      <c r="B538" s="78" t="s">
        <v>314</v>
      </c>
      <c r="C538" s="11">
        <v>366</v>
      </c>
      <c r="D538" s="11">
        <f>C538</f>
        <v>366</v>
      </c>
      <c r="E538" s="11">
        <v>0</v>
      </c>
      <c r="F538" s="11">
        <f>D538-E538</f>
        <v>366</v>
      </c>
      <c r="G538" s="377">
        <f>SUM(H538:M538)</f>
        <v>366</v>
      </c>
      <c r="H538" s="11"/>
      <c r="I538" s="11"/>
      <c r="J538" s="11">
        <v>0</v>
      </c>
      <c r="K538" s="11"/>
      <c r="L538" s="11">
        <v>366</v>
      </c>
      <c r="M538" s="57">
        <v>0</v>
      </c>
      <c r="N538" s="33" t="s">
        <v>32</v>
      </c>
    </row>
    <row r="539" spans="1:13" ht="18" customHeight="1">
      <c r="A539" s="69"/>
      <c r="B539" s="174" t="s">
        <v>527</v>
      </c>
      <c r="C539" s="11">
        <v>317</v>
      </c>
      <c r="D539" s="11">
        <f>C539</f>
        <v>317</v>
      </c>
      <c r="E539" s="11">
        <v>0</v>
      </c>
      <c r="F539" s="11">
        <f>D539-E539</f>
        <v>317</v>
      </c>
      <c r="G539" s="377">
        <f>SUM(H539:M539)</f>
        <v>317</v>
      </c>
      <c r="H539" s="11"/>
      <c r="I539" s="11"/>
      <c r="J539" s="11">
        <v>0</v>
      </c>
      <c r="K539" s="11"/>
      <c r="L539" s="11">
        <v>317</v>
      </c>
      <c r="M539" s="57">
        <v>0</v>
      </c>
    </row>
    <row r="540" spans="1:13" ht="11.25" customHeight="1">
      <c r="A540" s="28"/>
      <c r="B540" s="43"/>
      <c r="C540" s="61"/>
      <c r="D540" s="61"/>
      <c r="E540" s="61"/>
      <c r="F540" s="61"/>
      <c r="G540" s="61"/>
      <c r="H540" s="61"/>
      <c r="I540" s="61"/>
      <c r="J540" s="61"/>
      <c r="K540" s="61"/>
      <c r="L540" s="61"/>
      <c r="M540" s="61"/>
    </row>
    <row r="541" spans="1:13" ht="11.25" customHeight="1">
      <c r="A541" s="28"/>
      <c r="B541" s="43"/>
      <c r="C541" s="61"/>
      <c r="D541" s="61"/>
      <c r="E541" s="61"/>
      <c r="F541" s="61"/>
      <c r="G541" s="61"/>
      <c r="H541" s="61"/>
      <c r="I541" s="61"/>
      <c r="J541" s="61"/>
      <c r="K541" s="61"/>
      <c r="L541" s="61"/>
      <c r="M541" s="61"/>
    </row>
    <row r="542" spans="1:14" ht="28.5" customHeight="1">
      <c r="A542" s="69">
        <v>16</v>
      </c>
      <c r="B542" s="78" t="s">
        <v>315</v>
      </c>
      <c r="C542" s="11">
        <v>2678</v>
      </c>
      <c r="D542" s="11">
        <v>3871</v>
      </c>
      <c r="E542" s="11">
        <v>3439</v>
      </c>
      <c r="F542" s="11">
        <f>D542-E542</f>
        <v>432</v>
      </c>
      <c r="G542" s="377">
        <f>SUM(H542:M542)</f>
        <v>11</v>
      </c>
      <c r="H542" s="11"/>
      <c r="I542" s="11"/>
      <c r="J542" s="11">
        <v>0</v>
      </c>
      <c r="K542" s="11"/>
      <c r="L542" s="11">
        <v>11</v>
      </c>
      <c r="M542" s="57">
        <v>0</v>
      </c>
      <c r="N542" s="33" t="s">
        <v>32</v>
      </c>
    </row>
    <row r="543" spans="1:16" ht="16.5" customHeight="1">
      <c r="A543" s="69"/>
      <c r="B543" s="174" t="s">
        <v>368</v>
      </c>
      <c r="C543" s="11">
        <v>2370</v>
      </c>
      <c r="D543" s="11">
        <v>3446</v>
      </c>
      <c r="E543" s="11">
        <v>2737</v>
      </c>
      <c r="F543" s="11">
        <f>D543-E543</f>
        <v>709</v>
      </c>
      <c r="G543" s="377">
        <f>SUM(H543:M543)</f>
        <v>0</v>
      </c>
      <c r="H543" s="11"/>
      <c r="I543" s="11"/>
      <c r="J543" s="11">
        <v>0</v>
      </c>
      <c r="K543" s="11"/>
      <c r="L543" s="11">
        <v>0</v>
      </c>
      <c r="M543" s="57">
        <v>0</v>
      </c>
      <c r="P543" s="200"/>
    </row>
    <row r="544" spans="1:13" ht="12.75" customHeight="1">
      <c r="A544" s="28"/>
      <c r="B544" s="43"/>
      <c r="C544" s="61"/>
      <c r="D544" s="61"/>
      <c r="E544" s="61"/>
      <c r="F544" s="61"/>
      <c r="G544" s="61"/>
      <c r="H544" s="61"/>
      <c r="I544" s="61"/>
      <c r="J544" s="61"/>
      <c r="K544" s="61"/>
      <c r="L544" s="61"/>
      <c r="M544" s="61"/>
    </row>
    <row r="545" spans="1:13" ht="12.75" customHeight="1">
      <c r="A545" s="28"/>
      <c r="B545" s="43"/>
      <c r="C545" s="61"/>
      <c r="D545" s="61"/>
      <c r="E545" s="61"/>
      <c r="F545" s="61"/>
      <c r="G545" s="61"/>
      <c r="H545" s="61"/>
      <c r="I545" s="61"/>
      <c r="J545" s="61"/>
      <c r="K545" s="61"/>
      <c r="L545" s="61"/>
      <c r="M545" s="61"/>
    </row>
    <row r="546" spans="1:14" ht="28.5" customHeight="1">
      <c r="A546" s="69">
        <v>17</v>
      </c>
      <c r="B546" s="78" t="s">
        <v>316</v>
      </c>
      <c r="C546" s="11">
        <v>556</v>
      </c>
      <c r="D546" s="11">
        <v>798</v>
      </c>
      <c r="E546" s="11">
        <v>709</v>
      </c>
      <c r="F546" s="11">
        <f>D546-E546</f>
        <v>89</v>
      </c>
      <c r="G546" s="377">
        <f>SUM(H546:M546)</f>
        <v>4</v>
      </c>
      <c r="H546" s="11"/>
      <c r="I546" s="11"/>
      <c r="J546" s="11">
        <v>0</v>
      </c>
      <c r="K546" s="11"/>
      <c r="L546" s="11">
        <v>4</v>
      </c>
      <c r="M546" s="57">
        <v>0</v>
      </c>
      <c r="N546" s="33" t="s">
        <v>32</v>
      </c>
    </row>
    <row r="547" spans="1:16" ht="28.5" customHeight="1">
      <c r="A547" s="69"/>
      <c r="B547" s="174" t="s">
        <v>368</v>
      </c>
      <c r="C547" s="11">
        <v>482</v>
      </c>
      <c r="D547" s="11">
        <v>700</v>
      </c>
      <c r="E547" s="11">
        <v>662</v>
      </c>
      <c r="F547" s="11">
        <f>D547-E547</f>
        <v>38</v>
      </c>
      <c r="G547" s="377">
        <f>SUM(H547:M547)</f>
        <v>0</v>
      </c>
      <c r="H547" s="11"/>
      <c r="I547" s="11"/>
      <c r="J547" s="11">
        <v>0</v>
      </c>
      <c r="K547" s="11"/>
      <c r="L547" s="11">
        <v>0</v>
      </c>
      <c r="M547" s="57">
        <v>0</v>
      </c>
      <c r="P547" s="200"/>
    </row>
    <row r="548" spans="1:13" ht="15.75" customHeight="1">
      <c r="A548" s="28"/>
      <c r="B548" s="43"/>
      <c r="C548" s="61"/>
      <c r="D548" s="61"/>
      <c r="E548" s="61"/>
      <c r="F548" s="61"/>
      <c r="G548" s="61"/>
      <c r="H548" s="61"/>
      <c r="I548" s="61"/>
      <c r="J548" s="61"/>
      <c r="K548" s="61"/>
      <c r="L548" s="61"/>
      <c r="M548" s="61"/>
    </row>
    <row r="549" spans="1:13" ht="15.75" customHeight="1">
      <c r="A549" s="28"/>
      <c r="B549" s="43"/>
      <c r="C549" s="61"/>
      <c r="D549" s="61"/>
      <c r="E549" s="61"/>
      <c r="F549" s="61"/>
      <c r="G549" s="61"/>
      <c r="H549" s="61"/>
      <c r="I549" s="61"/>
      <c r="J549" s="61"/>
      <c r="K549" s="61"/>
      <c r="L549" s="61"/>
      <c r="M549" s="61"/>
    </row>
    <row r="550" spans="1:14" ht="30" customHeight="1">
      <c r="A550" s="69">
        <v>18</v>
      </c>
      <c r="B550" s="78" t="s">
        <v>554</v>
      </c>
      <c r="C550" s="11">
        <v>1297</v>
      </c>
      <c r="D550" s="11">
        <v>1871</v>
      </c>
      <c r="E550" s="11">
        <v>1666</v>
      </c>
      <c r="F550" s="11">
        <f>D550-E550</f>
        <v>205</v>
      </c>
      <c r="G550" s="377">
        <f>SUM(H550:M550)</f>
        <v>8</v>
      </c>
      <c r="H550" s="11"/>
      <c r="I550" s="11"/>
      <c r="J550" s="11">
        <v>0</v>
      </c>
      <c r="K550" s="11"/>
      <c r="L550" s="11">
        <v>8</v>
      </c>
      <c r="M550" s="57">
        <v>0</v>
      </c>
      <c r="N550" s="33" t="s">
        <v>32</v>
      </c>
    </row>
    <row r="551" spans="1:13" ht="30" customHeight="1">
      <c r="A551" s="69"/>
      <c r="B551" s="174" t="s">
        <v>368</v>
      </c>
      <c r="C551" s="11">
        <v>1142</v>
      </c>
      <c r="D551" s="11">
        <v>1660</v>
      </c>
      <c r="E551" s="11">
        <v>1321</v>
      </c>
      <c r="F551" s="11">
        <f>D551-E551</f>
        <v>339</v>
      </c>
      <c r="G551" s="377">
        <f>SUM(H551:M551)</f>
        <v>0</v>
      </c>
      <c r="H551" s="11"/>
      <c r="I551" s="11"/>
      <c r="J551" s="11">
        <v>0</v>
      </c>
      <c r="K551" s="11"/>
      <c r="L551" s="11">
        <v>0</v>
      </c>
      <c r="M551" s="57">
        <v>0</v>
      </c>
    </row>
    <row r="552" spans="1:13" ht="15" customHeight="1">
      <c r="A552" s="28"/>
      <c r="B552" s="43"/>
      <c r="C552" s="61"/>
      <c r="D552" s="61"/>
      <c r="E552" s="61"/>
      <c r="F552" s="61"/>
      <c r="G552" s="61"/>
      <c r="H552" s="61"/>
      <c r="I552" s="61"/>
      <c r="J552" s="61"/>
      <c r="K552" s="61"/>
      <c r="L552" s="61"/>
      <c r="M552" s="61"/>
    </row>
    <row r="553" spans="1:13" ht="15" customHeight="1">
      <c r="A553" s="69"/>
      <c r="B553" s="79"/>
      <c r="C553" s="10"/>
      <c r="D553" s="10"/>
      <c r="E553" s="10"/>
      <c r="F553" s="10"/>
      <c r="G553" s="249"/>
      <c r="H553" s="10"/>
      <c r="I553" s="10"/>
      <c r="J553" s="10"/>
      <c r="K553" s="10"/>
      <c r="L553" s="10"/>
      <c r="M553" s="46"/>
    </row>
    <row r="554" spans="1:14" ht="27.75" customHeight="1">
      <c r="A554" s="69">
        <v>19</v>
      </c>
      <c r="B554" s="78" t="s">
        <v>317</v>
      </c>
      <c r="C554" s="11">
        <v>443</v>
      </c>
      <c r="D554" s="11">
        <v>635</v>
      </c>
      <c r="E554" s="11">
        <v>564</v>
      </c>
      <c r="F554" s="11">
        <f>D554-E554</f>
        <v>71</v>
      </c>
      <c r="G554" s="377">
        <f>SUM(H554:M554)</f>
        <v>3</v>
      </c>
      <c r="H554" s="11"/>
      <c r="I554" s="11"/>
      <c r="J554" s="11">
        <v>0</v>
      </c>
      <c r="K554" s="11"/>
      <c r="L554" s="11">
        <v>3</v>
      </c>
      <c r="M554" s="57">
        <v>0</v>
      </c>
      <c r="N554" s="33" t="s">
        <v>32</v>
      </c>
    </row>
    <row r="555" spans="1:16" ht="27.75" customHeight="1">
      <c r="A555" s="69"/>
      <c r="B555" s="174" t="s">
        <v>368</v>
      </c>
      <c r="C555" s="11">
        <v>383</v>
      </c>
      <c r="D555" s="11">
        <v>557</v>
      </c>
      <c r="E555" s="11">
        <v>441</v>
      </c>
      <c r="F555" s="11">
        <f>D555-E555</f>
        <v>116</v>
      </c>
      <c r="G555" s="377">
        <f>SUM(H555:M555)</f>
        <v>0</v>
      </c>
      <c r="H555" s="11"/>
      <c r="I555" s="11"/>
      <c r="J555" s="11">
        <v>0</v>
      </c>
      <c r="K555" s="11"/>
      <c r="L555" s="11">
        <v>0</v>
      </c>
      <c r="M555" s="57">
        <v>0</v>
      </c>
      <c r="P555" s="200"/>
    </row>
    <row r="556" spans="1:13" ht="16.5" customHeight="1">
      <c r="A556" s="28"/>
      <c r="B556" s="43"/>
      <c r="C556" s="61"/>
      <c r="D556" s="61"/>
      <c r="E556" s="61"/>
      <c r="F556" s="61"/>
      <c r="G556" s="61"/>
      <c r="H556" s="61"/>
      <c r="I556" s="61"/>
      <c r="J556" s="61"/>
      <c r="K556" s="61"/>
      <c r="L556" s="61"/>
      <c r="M556" s="61"/>
    </row>
    <row r="557" spans="1:13" ht="16.5" customHeight="1">
      <c r="A557" s="28"/>
      <c r="B557" s="43"/>
      <c r="C557" s="61"/>
      <c r="D557" s="61"/>
      <c r="E557" s="61"/>
      <c r="F557" s="61"/>
      <c r="G557" s="61"/>
      <c r="H557" s="61"/>
      <c r="I557" s="61"/>
      <c r="J557" s="61"/>
      <c r="K557" s="61"/>
      <c r="L557" s="61"/>
      <c r="M557" s="61"/>
    </row>
    <row r="558" spans="1:14" ht="28.5" customHeight="1">
      <c r="A558" s="69">
        <v>20</v>
      </c>
      <c r="B558" s="78" t="s">
        <v>318</v>
      </c>
      <c r="C558" s="11">
        <v>270</v>
      </c>
      <c r="D558" s="11">
        <v>384</v>
      </c>
      <c r="E558" s="11">
        <v>0</v>
      </c>
      <c r="F558" s="11">
        <f>D558-E558</f>
        <v>384</v>
      </c>
      <c r="G558" s="377">
        <f>SUM(H558:M558)</f>
        <v>384</v>
      </c>
      <c r="H558" s="11"/>
      <c r="I558" s="11"/>
      <c r="J558" s="11">
        <v>0</v>
      </c>
      <c r="K558" s="11"/>
      <c r="L558" s="11">
        <v>384</v>
      </c>
      <c r="M558" s="57">
        <v>0</v>
      </c>
      <c r="N558" s="33" t="s">
        <v>32</v>
      </c>
    </row>
    <row r="559" spans="1:13" ht="28.5" customHeight="1">
      <c r="A559" s="69"/>
      <c r="B559" s="174" t="s">
        <v>368</v>
      </c>
      <c r="C559" s="11">
        <v>234</v>
      </c>
      <c r="D559" s="11">
        <v>336</v>
      </c>
      <c r="E559" s="11">
        <v>0</v>
      </c>
      <c r="F559" s="11">
        <f>D559-E559</f>
        <v>336</v>
      </c>
      <c r="G559" s="377">
        <f>SUM(H559:M559)</f>
        <v>336</v>
      </c>
      <c r="H559" s="11"/>
      <c r="I559" s="11"/>
      <c r="J559" s="11">
        <v>0</v>
      </c>
      <c r="K559" s="11"/>
      <c r="L559" s="11">
        <v>336</v>
      </c>
      <c r="M559" s="57">
        <v>0</v>
      </c>
    </row>
    <row r="560" spans="1:16" ht="28.5" customHeight="1">
      <c r="A560" s="69"/>
      <c r="B560" s="174"/>
      <c r="C560" s="10"/>
      <c r="D560" s="10"/>
      <c r="E560" s="10"/>
      <c r="F560" s="10"/>
      <c r="G560" s="249"/>
      <c r="H560" s="10"/>
      <c r="I560" s="10"/>
      <c r="J560" s="10"/>
      <c r="K560" s="10"/>
      <c r="L560" s="10"/>
      <c r="M560" s="46"/>
      <c r="P560" s="200"/>
    </row>
    <row r="561" spans="1:14" ht="69.75">
      <c r="A561" s="69">
        <v>21</v>
      </c>
      <c r="B561" s="78" t="s">
        <v>367</v>
      </c>
      <c r="C561" s="11">
        <v>9524</v>
      </c>
      <c r="D561" s="11">
        <f>C561</f>
        <v>9524</v>
      </c>
      <c r="E561" s="11">
        <v>0</v>
      </c>
      <c r="F561" s="11">
        <f>D561-E561</f>
        <v>9524</v>
      </c>
      <c r="G561" s="377">
        <f>SUM(H561:M561)</f>
        <v>9524</v>
      </c>
      <c r="H561" s="11"/>
      <c r="I561" s="11"/>
      <c r="J561" s="11">
        <v>0</v>
      </c>
      <c r="K561" s="11"/>
      <c r="L561" s="11">
        <v>9524</v>
      </c>
      <c r="M561" s="57">
        <v>0</v>
      </c>
      <c r="N561" s="33" t="s">
        <v>32</v>
      </c>
    </row>
    <row r="562" spans="1:16" ht="28.5" customHeight="1">
      <c r="A562" s="69"/>
      <c r="B562" s="174" t="s">
        <v>366</v>
      </c>
      <c r="C562" s="11">
        <v>8295</v>
      </c>
      <c r="D562" s="11">
        <f>C562</f>
        <v>8295</v>
      </c>
      <c r="E562" s="11">
        <v>0</v>
      </c>
      <c r="F562" s="11">
        <f>D562-E562</f>
        <v>8295</v>
      </c>
      <c r="G562" s="377">
        <f>SUM(H562:M562)</f>
        <v>8295</v>
      </c>
      <c r="H562" s="11"/>
      <c r="I562" s="11"/>
      <c r="J562" s="11">
        <v>0</v>
      </c>
      <c r="K562" s="11"/>
      <c r="L562" s="11">
        <v>8295</v>
      </c>
      <c r="M562" s="57">
        <v>0</v>
      </c>
      <c r="P562" s="200"/>
    </row>
    <row r="563" spans="1:13" ht="21" customHeight="1">
      <c r="A563" s="69"/>
      <c r="B563" s="79"/>
      <c r="C563" s="10"/>
      <c r="D563" s="10"/>
      <c r="E563" s="10"/>
      <c r="F563" s="10"/>
      <c r="G563" s="249"/>
      <c r="H563" s="10"/>
      <c r="I563" s="10"/>
      <c r="J563" s="10"/>
      <c r="K563" s="10"/>
      <c r="L563" s="10"/>
      <c r="M563" s="46"/>
    </row>
    <row r="564" spans="1:13" ht="24.75" customHeight="1">
      <c r="A564" s="28" t="s">
        <v>6</v>
      </c>
      <c r="B564" s="47" t="s">
        <v>11</v>
      </c>
      <c r="C564" s="11">
        <f>C568+C569+C570</f>
        <v>78929</v>
      </c>
      <c r="D564" s="11">
        <f aca="true" t="shared" si="67" ref="D564:M564">D568+D569+D570</f>
        <v>78929</v>
      </c>
      <c r="E564" s="11">
        <f t="shared" si="67"/>
        <v>4970</v>
      </c>
      <c r="F564" s="11">
        <f t="shared" si="67"/>
        <v>73959</v>
      </c>
      <c r="G564" s="376">
        <f t="shared" si="67"/>
        <v>73959</v>
      </c>
      <c r="H564" s="11">
        <f t="shared" si="67"/>
        <v>0</v>
      </c>
      <c r="I564" s="11">
        <f t="shared" si="67"/>
        <v>2054</v>
      </c>
      <c r="J564" s="11">
        <f t="shared" si="67"/>
        <v>58682</v>
      </c>
      <c r="K564" s="11">
        <f t="shared" si="67"/>
        <v>0</v>
      </c>
      <c r="L564" s="11">
        <f t="shared" si="67"/>
        <v>13223</v>
      </c>
      <c r="M564" s="11">
        <f t="shared" si="67"/>
        <v>0</v>
      </c>
    </row>
    <row r="565" spans="1:13" ht="24.75" customHeight="1">
      <c r="A565" s="28"/>
      <c r="B565" s="48" t="s">
        <v>12</v>
      </c>
      <c r="C565" s="11">
        <v>0</v>
      </c>
      <c r="D565" s="11">
        <v>0</v>
      </c>
      <c r="E565" s="11">
        <v>0</v>
      </c>
      <c r="F565" s="11">
        <v>0</v>
      </c>
      <c r="G565" s="376">
        <v>0</v>
      </c>
      <c r="H565" s="11">
        <v>0</v>
      </c>
      <c r="I565" s="11">
        <v>0</v>
      </c>
      <c r="J565" s="11">
        <v>0</v>
      </c>
      <c r="K565" s="11">
        <v>0</v>
      </c>
      <c r="L565" s="11">
        <v>0</v>
      </c>
      <c r="M565" s="11">
        <v>0</v>
      </c>
    </row>
    <row r="566" spans="1:13" ht="15">
      <c r="A566" s="58"/>
      <c r="B566" s="26" t="s">
        <v>9</v>
      </c>
      <c r="C566" s="10"/>
      <c r="D566" s="10"/>
      <c r="E566" s="10"/>
      <c r="F566" s="10"/>
      <c r="G566" s="61"/>
      <c r="H566" s="10"/>
      <c r="I566" s="10"/>
      <c r="J566" s="10"/>
      <c r="K566" s="10"/>
      <c r="L566" s="10"/>
      <c r="M566" s="63"/>
    </row>
    <row r="567" spans="1:13" ht="15">
      <c r="A567" s="58"/>
      <c r="B567" s="26"/>
      <c r="C567" s="10"/>
      <c r="D567" s="10"/>
      <c r="E567" s="10"/>
      <c r="F567" s="10"/>
      <c r="G567" s="61"/>
      <c r="H567" s="10"/>
      <c r="I567" s="10"/>
      <c r="J567" s="10"/>
      <c r="K567" s="10"/>
      <c r="L567" s="10"/>
      <c r="M567" s="63"/>
    </row>
    <row r="568" spans="1:13" ht="21" customHeight="1">
      <c r="A568" s="58"/>
      <c r="B568" s="34" t="s">
        <v>86</v>
      </c>
      <c r="C568" s="63">
        <f>'Studii si proiecte 2022'!D247</f>
        <v>9114</v>
      </c>
      <c r="D568" s="63">
        <f>'Studii si proiecte 2022'!E247</f>
        <v>9114</v>
      </c>
      <c r="E568" s="63">
        <f>'Studii si proiecte 2022'!F247</f>
        <v>706</v>
      </c>
      <c r="F568" s="63">
        <f>'Studii si proiecte 2022'!G247</f>
        <v>8408</v>
      </c>
      <c r="G568" s="375">
        <f>'Studii si proiecte 2022'!H247</f>
        <v>8408</v>
      </c>
      <c r="H568" s="63">
        <f>'Studii si proiecte 2022'!I247</f>
        <v>0</v>
      </c>
      <c r="I568" s="63">
        <f>'Studii si proiecte 2022'!J247</f>
        <v>0</v>
      </c>
      <c r="J568" s="63">
        <f>'Studii si proiecte 2022'!K247</f>
        <v>1900</v>
      </c>
      <c r="K568" s="63">
        <f>'Studii si proiecte 2022'!L247</f>
        <v>0</v>
      </c>
      <c r="L568" s="63">
        <f>'Studii si proiecte 2022'!M247</f>
        <v>6508</v>
      </c>
      <c r="M568" s="63">
        <f>'Studii si proiecte 2022'!N247</f>
        <v>0</v>
      </c>
    </row>
    <row r="569" spans="1:13" ht="21" customHeight="1">
      <c r="A569" s="58"/>
      <c r="B569" s="34" t="s">
        <v>24</v>
      </c>
      <c r="C569" s="63">
        <f>'Dotari 2022'!D107</f>
        <v>58951</v>
      </c>
      <c r="D569" s="63">
        <f>'Dotari 2022'!E107</f>
        <v>58951</v>
      </c>
      <c r="E569" s="63">
        <f>'Dotari 2022'!F107</f>
        <v>0</v>
      </c>
      <c r="F569" s="63">
        <f>'Dotari 2022'!G107</f>
        <v>58951</v>
      </c>
      <c r="G569" s="375">
        <f>'Dotari 2022'!H107</f>
        <v>58951</v>
      </c>
      <c r="H569" s="63">
        <f>'Dotari 2022'!I107</f>
        <v>0</v>
      </c>
      <c r="I569" s="63">
        <f>'Dotari 2022'!J107</f>
        <v>2054</v>
      </c>
      <c r="J569" s="63">
        <f>'Dotari 2022'!K107</f>
        <v>56782</v>
      </c>
      <c r="K569" s="63">
        <f>'Dotari 2022'!L107</f>
        <v>0</v>
      </c>
      <c r="L569" s="63">
        <f>'Dotari 2022'!M107</f>
        <v>115</v>
      </c>
      <c r="M569" s="63">
        <f>'Dotari 2022'!N107</f>
        <v>0</v>
      </c>
    </row>
    <row r="570" spans="1:13" ht="21" customHeight="1">
      <c r="A570" s="58"/>
      <c r="B570" s="34" t="s">
        <v>84</v>
      </c>
      <c r="C570" s="63">
        <f>'Alte chelt 2022'!D77</f>
        <v>10864</v>
      </c>
      <c r="D570" s="63">
        <f>'Alte chelt 2022'!E77</f>
        <v>10864</v>
      </c>
      <c r="E570" s="63">
        <f>'Alte chelt 2022'!F77</f>
        <v>4264</v>
      </c>
      <c r="F570" s="63">
        <f>'Alte chelt 2022'!G77</f>
        <v>6600</v>
      </c>
      <c r="G570" s="375">
        <f>'Alte chelt 2022'!H77</f>
        <v>6600</v>
      </c>
      <c r="H570" s="63">
        <f>'Alte chelt 2022'!I77</f>
        <v>0</v>
      </c>
      <c r="I570" s="63">
        <f>'Alte chelt 2022'!J77</f>
        <v>0</v>
      </c>
      <c r="J570" s="63">
        <f>'Alte chelt 2022'!K77</f>
        <v>0</v>
      </c>
      <c r="K570" s="63">
        <f>'Alte chelt 2022'!L77</f>
        <v>0</v>
      </c>
      <c r="L570" s="63">
        <f>'Alte chelt 2022'!M77</f>
        <v>6600</v>
      </c>
      <c r="M570" s="63">
        <f>'Alte chelt 2022'!N77</f>
        <v>0</v>
      </c>
    </row>
    <row r="571" spans="1:13" ht="21" customHeight="1" hidden="1">
      <c r="A571" s="58"/>
      <c r="B571" s="34"/>
      <c r="C571" s="63"/>
      <c r="D571" s="63"/>
      <c r="E571" s="63"/>
      <c r="F571" s="63"/>
      <c r="G571" s="63"/>
      <c r="H571" s="63"/>
      <c r="I571" s="63"/>
      <c r="J571" s="63"/>
      <c r="K571" s="63"/>
      <c r="L571" s="63"/>
      <c r="M571" s="63"/>
    </row>
    <row r="572" spans="1:13" ht="21" customHeight="1" hidden="1">
      <c r="A572" s="58"/>
      <c r="B572" s="34"/>
      <c r="C572" s="63"/>
      <c r="D572" s="63"/>
      <c r="E572" s="63"/>
      <c r="F572" s="63"/>
      <c r="G572" s="63"/>
      <c r="H572" s="63"/>
      <c r="I572" s="63"/>
      <c r="J572" s="63"/>
      <c r="K572" s="63"/>
      <c r="L572" s="63"/>
      <c r="M572" s="63"/>
    </row>
    <row r="573" spans="1:13" ht="21" customHeight="1" hidden="1">
      <c r="A573" s="58"/>
      <c r="B573" s="34"/>
      <c r="C573" s="63"/>
      <c r="D573" s="63"/>
      <c r="E573" s="63"/>
      <c r="F573" s="63"/>
      <c r="G573" s="63"/>
      <c r="H573" s="63"/>
      <c r="I573" s="63"/>
      <c r="J573" s="63"/>
      <c r="K573" s="63"/>
      <c r="L573" s="63"/>
      <c r="M573" s="63"/>
    </row>
    <row r="574" spans="1:13" ht="39.75" customHeight="1" hidden="1">
      <c r="A574" s="21"/>
      <c r="B574" s="22" t="s">
        <v>147</v>
      </c>
      <c r="C574" s="23" t="s">
        <v>148</v>
      </c>
      <c r="D574" s="24"/>
      <c r="E574" s="24"/>
      <c r="F574" s="24"/>
      <c r="G574" s="262"/>
      <c r="H574" s="262"/>
      <c r="I574" s="262"/>
      <c r="J574" s="262"/>
      <c r="K574" s="262"/>
      <c r="L574" s="262"/>
      <c r="M574" s="10" t="s">
        <v>16</v>
      </c>
    </row>
    <row r="575" spans="1:13" ht="21" customHeight="1" hidden="1">
      <c r="A575" s="25"/>
      <c r="B575" s="26" t="s">
        <v>9</v>
      </c>
      <c r="C575" s="44">
        <f>C578+C581+C584</f>
        <v>0</v>
      </c>
      <c r="D575" s="44">
        <f aca="true" t="shared" si="68" ref="D575:M575">D578+D581+D584</f>
        <v>0</v>
      </c>
      <c r="E575" s="44">
        <f t="shared" si="68"/>
        <v>0</v>
      </c>
      <c r="F575" s="44">
        <f t="shared" si="68"/>
        <v>0</v>
      </c>
      <c r="G575" s="44">
        <f t="shared" si="68"/>
        <v>0</v>
      </c>
      <c r="H575" s="44">
        <f t="shared" si="68"/>
        <v>0</v>
      </c>
      <c r="I575" s="44">
        <f t="shared" si="68"/>
        <v>0</v>
      </c>
      <c r="J575" s="44">
        <f t="shared" si="68"/>
        <v>0</v>
      </c>
      <c r="K575" s="44">
        <f t="shared" si="68"/>
        <v>0</v>
      </c>
      <c r="L575" s="44">
        <f t="shared" si="68"/>
        <v>0</v>
      </c>
      <c r="M575" s="44">
        <f t="shared" si="68"/>
        <v>0</v>
      </c>
    </row>
    <row r="576" spans="1:13" ht="21" customHeight="1" hidden="1">
      <c r="A576" s="28"/>
      <c r="B576" s="29"/>
      <c r="C576" s="44">
        <f>C579+C582+C585</f>
        <v>0</v>
      </c>
      <c r="D576" s="44">
        <f aca="true" t="shared" si="69" ref="D576:M576">D579+D582+D585</f>
        <v>0</v>
      </c>
      <c r="E576" s="44">
        <f t="shared" si="69"/>
        <v>0</v>
      </c>
      <c r="F576" s="44">
        <f t="shared" si="69"/>
        <v>0</v>
      </c>
      <c r="G576" s="44">
        <f t="shared" si="69"/>
        <v>0</v>
      </c>
      <c r="H576" s="44">
        <f t="shared" si="69"/>
        <v>0</v>
      </c>
      <c r="I576" s="44">
        <f t="shared" si="69"/>
        <v>0</v>
      </c>
      <c r="J576" s="44">
        <f t="shared" si="69"/>
        <v>0</v>
      </c>
      <c r="K576" s="44">
        <f t="shared" si="69"/>
        <v>0</v>
      </c>
      <c r="L576" s="44">
        <f t="shared" si="69"/>
        <v>0</v>
      </c>
      <c r="M576" s="44">
        <f t="shared" si="69"/>
        <v>0</v>
      </c>
    </row>
    <row r="577" spans="1:13" ht="16.5" customHeight="1" hidden="1">
      <c r="A577" s="45"/>
      <c r="C577" s="24"/>
      <c r="D577" s="24"/>
      <c r="E577" s="24"/>
      <c r="F577" s="24"/>
      <c r="G577" s="360"/>
      <c r="H577" s="24"/>
      <c r="I577" s="24"/>
      <c r="J577" s="24"/>
      <c r="K577" s="24"/>
      <c r="L577" s="24"/>
      <c r="M577" s="24"/>
    </row>
    <row r="578" spans="1:13" ht="16.5" customHeight="1" hidden="1">
      <c r="A578" s="28" t="s">
        <v>1</v>
      </c>
      <c r="B578" s="47" t="s">
        <v>2</v>
      </c>
      <c r="C578" s="57">
        <v>0</v>
      </c>
      <c r="D578" s="57">
        <v>0</v>
      </c>
      <c r="E578" s="57">
        <v>0</v>
      </c>
      <c r="F578" s="57">
        <f>D578-E578</f>
        <v>0</v>
      </c>
      <c r="G578" s="57">
        <f>SUM(H578:M578)</f>
        <v>0</v>
      </c>
      <c r="H578" s="57">
        <v>0</v>
      </c>
      <c r="I578" s="57">
        <v>0</v>
      </c>
      <c r="J578" s="57">
        <v>0</v>
      </c>
      <c r="K578" s="57">
        <v>0</v>
      </c>
      <c r="L578" s="57">
        <v>0</v>
      </c>
      <c r="M578" s="57">
        <v>0</v>
      </c>
    </row>
    <row r="579" spans="1:13" ht="16.5" customHeight="1" hidden="1">
      <c r="A579" s="28"/>
      <c r="B579" s="48" t="s">
        <v>3</v>
      </c>
      <c r="C579" s="57">
        <v>0</v>
      </c>
      <c r="D579" s="57">
        <v>0</v>
      </c>
      <c r="E579" s="57">
        <v>0</v>
      </c>
      <c r="F579" s="57">
        <f>D579-E579</f>
        <v>0</v>
      </c>
      <c r="G579" s="57">
        <f>SUM(H579:M579)</f>
        <v>0</v>
      </c>
      <c r="H579" s="57">
        <v>0</v>
      </c>
      <c r="I579" s="57">
        <v>0</v>
      </c>
      <c r="J579" s="57">
        <v>0</v>
      </c>
      <c r="K579" s="57">
        <v>0</v>
      </c>
      <c r="L579" s="57">
        <v>0</v>
      </c>
      <c r="M579" s="57">
        <v>0</v>
      </c>
    </row>
    <row r="580" spans="1:13" ht="16.5" customHeight="1" hidden="1">
      <c r="A580" s="28"/>
      <c r="C580" s="24"/>
      <c r="D580" s="24"/>
      <c r="E580" s="24"/>
      <c r="F580" s="24"/>
      <c r="G580" s="360"/>
      <c r="H580" s="24"/>
      <c r="I580" s="24"/>
      <c r="J580" s="46"/>
      <c r="K580" s="46"/>
      <c r="L580" s="24"/>
      <c r="M580" s="24"/>
    </row>
    <row r="581" spans="1:13" ht="16.5" customHeight="1" hidden="1">
      <c r="A581" s="28" t="s">
        <v>4</v>
      </c>
      <c r="B581" s="47" t="s">
        <v>10</v>
      </c>
      <c r="C581" s="57">
        <v>0</v>
      </c>
      <c r="D581" s="57">
        <v>0</v>
      </c>
      <c r="E581" s="57">
        <v>0</v>
      </c>
      <c r="F581" s="57">
        <f>D581-E581</f>
        <v>0</v>
      </c>
      <c r="G581" s="57">
        <f>SUM(H581:M581)</f>
        <v>0</v>
      </c>
      <c r="H581" s="57">
        <v>0</v>
      </c>
      <c r="I581" s="57">
        <v>0</v>
      </c>
      <c r="J581" s="57">
        <v>0</v>
      </c>
      <c r="K581" s="57">
        <v>0</v>
      </c>
      <c r="L581" s="57">
        <v>0</v>
      </c>
      <c r="M581" s="57">
        <v>0</v>
      </c>
    </row>
    <row r="582" spans="1:13" ht="16.5" customHeight="1" hidden="1">
      <c r="A582" s="28"/>
      <c r="B582" s="48" t="s">
        <v>5</v>
      </c>
      <c r="C582" s="57">
        <v>0</v>
      </c>
      <c r="D582" s="57">
        <v>0</v>
      </c>
      <c r="E582" s="57">
        <v>0</v>
      </c>
      <c r="F582" s="57">
        <f>D582-E582</f>
        <v>0</v>
      </c>
      <c r="G582" s="57">
        <f>SUM(H582:M582)</f>
        <v>0</v>
      </c>
      <c r="H582" s="57">
        <v>0</v>
      </c>
      <c r="I582" s="57">
        <v>0</v>
      </c>
      <c r="J582" s="57">
        <v>0</v>
      </c>
      <c r="K582" s="57">
        <v>0</v>
      </c>
      <c r="L582" s="57">
        <v>0</v>
      </c>
      <c r="M582" s="57">
        <v>0</v>
      </c>
    </row>
    <row r="583" spans="1:13" ht="16.5" customHeight="1" hidden="1">
      <c r="A583" s="28"/>
      <c r="B583" s="43"/>
      <c r="C583" s="46"/>
      <c r="D583" s="46"/>
      <c r="E583" s="46"/>
      <c r="F583" s="46"/>
      <c r="G583" s="46"/>
      <c r="H583" s="46"/>
      <c r="I583" s="46"/>
      <c r="J583" s="46"/>
      <c r="K583" s="46"/>
      <c r="L583" s="46"/>
      <c r="M583" s="46"/>
    </row>
    <row r="584" spans="1:13" ht="16.5" customHeight="1" hidden="1">
      <c r="A584" s="28" t="s">
        <v>6</v>
      </c>
      <c r="B584" s="47" t="s">
        <v>91</v>
      </c>
      <c r="C584" s="57">
        <f>C587+C588+C589</f>
        <v>0</v>
      </c>
      <c r="D584" s="57">
        <f aca="true" t="shared" si="70" ref="D584:M584">D587+D588+D589</f>
        <v>0</v>
      </c>
      <c r="E584" s="57">
        <f t="shared" si="70"/>
        <v>0</v>
      </c>
      <c r="F584" s="57">
        <f t="shared" si="70"/>
        <v>0</v>
      </c>
      <c r="G584" s="57">
        <f t="shared" si="70"/>
        <v>0</v>
      </c>
      <c r="H584" s="57">
        <f t="shared" si="70"/>
        <v>0</v>
      </c>
      <c r="I584" s="57">
        <f t="shared" si="70"/>
        <v>0</v>
      </c>
      <c r="J584" s="57">
        <f t="shared" si="70"/>
        <v>0</v>
      </c>
      <c r="K584" s="57">
        <f t="shared" si="70"/>
        <v>0</v>
      </c>
      <c r="L584" s="57">
        <f t="shared" si="70"/>
        <v>0</v>
      </c>
      <c r="M584" s="57">
        <f t="shared" si="70"/>
        <v>0</v>
      </c>
    </row>
    <row r="585" spans="1:13" ht="16.5" customHeight="1" hidden="1">
      <c r="A585" s="28"/>
      <c r="B585" s="48" t="s">
        <v>12</v>
      </c>
      <c r="C585" s="46"/>
      <c r="D585" s="46"/>
      <c r="E585" s="46"/>
      <c r="F585" s="46"/>
      <c r="G585" s="46"/>
      <c r="H585" s="46"/>
      <c r="I585" s="46"/>
      <c r="J585" s="46"/>
      <c r="K585" s="46"/>
      <c r="L585" s="46"/>
      <c r="M585" s="46"/>
    </row>
    <row r="586" spans="1:13" ht="16.5" customHeight="1" hidden="1">
      <c r="A586" s="45"/>
      <c r="B586" s="26" t="s">
        <v>9</v>
      </c>
      <c r="C586" s="24"/>
      <c r="D586" s="14"/>
      <c r="E586" s="14"/>
      <c r="F586" s="14"/>
      <c r="G586" s="14"/>
      <c r="H586" s="14"/>
      <c r="I586" s="14"/>
      <c r="J586" s="14"/>
      <c r="K586" s="14"/>
      <c r="L586" s="24"/>
      <c r="M586" s="24"/>
    </row>
    <row r="587" spans="1:13" ht="16.5" customHeight="1" hidden="1">
      <c r="A587" s="58"/>
      <c r="B587" s="34" t="s">
        <v>0</v>
      </c>
      <c r="C587" s="24">
        <f>'Studii si proiecte 2022'!D516</f>
        <v>0</v>
      </c>
      <c r="D587" s="24">
        <f>'Studii si proiecte 2022'!D516</f>
        <v>0</v>
      </c>
      <c r="E587" s="24">
        <f>'Studii si proiecte 2022'!F516</f>
        <v>0</v>
      </c>
      <c r="F587" s="24">
        <f>'Studii si proiecte 2022'!G516</f>
        <v>0</v>
      </c>
      <c r="G587" s="24">
        <f>'Studii si proiecte 2022'!H516</f>
        <v>0</v>
      </c>
      <c r="H587" s="24">
        <v>0</v>
      </c>
      <c r="I587" s="24">
        <v>0</v>
      </c>
      <c r="J587" s="24">
        <f>'Studii si proiecte 2022'!K516</f>
        <v>0</v>
      </c>
      <c r="K587" s="24">
        <v>0</v>
      </c>
      <c r="L587" s="24">
        <f>'Studii si proiecte 2022'!M516</f>
        <v>0</v>
      </c>
      <c r="M587" s="24">
        <v>0</v>
      </c>
    </row>
    <row r="588" spans="1:13" ht="16.5" customHeight="1" hidden="1">
      <c r="A588" s="59"/>
      <c r="B588" s="169" t="s">
        <v>82</v>
      </c>
      <c r="C588" s="60">
        <f>'Dotari 2022'!D113</f>
        <v>0</v>
      </c>
      <c r="D588" s="60">
        <f>'Dotari 2022'!E113</f>
        <v>0</v>
      </c>
      <c r="E588" s="60">
        <f>'Dotari 2022'!F113</f>
        <v>0</v>
      </c>
      <c r="F588" s="60">
        <f>'Dotari 2022'!G113</f>
        <v>0</v>
      </c>
      <c r="G588" s="60">
        <f>'Dotari 2022'!H113</f>
        <v>0</v>
      </c>
      <c r="H588" s="60">
        <f>'Dotari 2022'!I113</f>
        <v>0</v>
      </c>
      <c r="I588" s="60">
        <f>'Dotari 2022'!J113</f>
        <v>0</v>
      </c>
      <c r="J588" s="60">
        <f>'Dotari 2022'!K113</f>
        <v>0</v>
      </c>
      <c r="K588" s="60">
        <f>'Dotari 2022'!L113</f>
        <v>0</v>
      </c>
      <c r="L588" s="60">
        <f>'Dotari 2022'!M113</f>
        <v>0</v>
      </c>
      <c r="M588" s="60">
        <f>'Dotari 2022'!N113</f>
        <v>0</v>
      </c>
    </row>
    <row r="589" spans="1:13" ht="16.5" customHeight="1" hidden="1">
      <c r="A589" s="59"/>
      <c r="B589" s="169" t="s">
        <v>77</v>
      </c>
      <c r="C589" s="60">
        <f>'Alte chelt 2022'!D458</f>
        <v>0</v>
      </c>
      <c r="D589" s="60">
        <f>'Alte chelt 2022'!E458</f>
        <v>0</v>
      </c>
      <c r="E589" s="60">
        <f>'Alte chelt 2022'!F458</f>
        <v>0</v>
      </c>
      <c r="F589" s="60">
        <f>'Alte chelt 2022'!G458</f>
        <v>0</v>
      </c>
      <c r="G589" s="60">
        <f>'Alte chelt 2022'!H458</f>
        <v>0</v>
      </c>
      <c r="H589" s="60">
        <f>'Alte chelt 2022'!I458</f>
        <v>0</v>
      </c>
      <c r="I589" s="60">
        <f>'Alte chelt 2022'!J458</f>
        <v>0</v>
      </c>
      <c r="J589" s="60">
        <f>'Alte chelt 2022'!K458</f>
        <v>0</v>
      </c>
      <c r="K589" s="60">
        <f>'Alte chelt 2022'!L458</f>
        <v>0</v>
      </c>
      <c r="L589" s="60">
        <f>'Alte chelt 2022'!M458</f>
        <v>0</v>
      </c>
      <c r="M589" s="60">
        <f>'Alte chelt 2022'!N458</f>
        <v>0</v>
      </c>
    </row>
    <row r="590" spans="1:14" ht="16.5" customHeight="1">
      <c r="A590" s="175"/>
      <c r="B590" s="176"/>
      <c r="C590" s="115"/>
      <c r="D590" s="119"/>
      <c r="E590" s="119"/>
      <c r="F590" s="119"/>
      <c r="G590" s="119"/>
      <c r="H590" s="119"/>
      <c r="I590" s="119"/>
      <c r="J590" s="119"/>
      <c r="K590" s="119"/>
      <c r="L590" s="119"/>
      <c r="M590" s="119"/>
      <c r="N590" s="119"/>
    </row>
    <row r="591" spans="1:14" ht="15">
      <c r="A591" s="412"/>
      <c r="B591" s="413" t="s">
        <v>154</v>
      </c>
      <c r="C591" s="414"/>
      <c r="D591" s="415"/>
      <c r="E591" s="416" t="s">
        <v>114</v>
      </c>
      <c r="F591" s="414"/>
      <c r="G591" s="414"/>
      <c r="H591" s="414"/>
      <c r="I591" s="414"/>
      <c r="J591" s="415"/>
      <c r="K591" s="417" t="s">
        <v>162</v>
      </c>
      <c r="L591" s="415"/>
      <c r="M591" s="414"/>
      <c r="N591" s="119"/>
    </row>
    <row r="592" spans="1:13" ht="15">
      <c r="A592" s="418"/>
      <c r="B592" s="413" t="s">
        <v>153</v>
      </c>
      <c r="C592" s="419"/>
      <c r="D592" s="415"/>
      <c r="E592" s="415"/>
      <c r="F592" s="419"/>
      <c r="G592" s="419"/>
      <c r="H592" s="420"/>
      <c r="I592" s="419"/>
      <c r="J592" s="415"/>
      <c r="K592" s="421" t="s">
        <v>109</v>
      </c>
      <c r="L592" s="415"/>
      <c r="M592" s="419"/>
    </row>
    <row r="593" spans="1:13" ht="15">
      <c r="A593" s="422"/>
      <c r="B593" s="177"/>
      <c r="C593" s="415"/>
      <c r="D593" s="415"/>
      <c r="E593" s="419"/>
      <c r="F593" s="415"/>
      <c r="G593" s="415"/>
      <c r="H593" s="423" t="s">
        <v>115</v>
      </c>
      <c r="I593" s="424"/>
      <c r="J593" s="420"/>
      <c r="K593" s="415"/>
      <c r="L593" s="415"/>
      <c r="M593" s="415"/>
    </row>
    <row r="594" spans="1:13" ht="15">
      <c r="A594" s="422"/>
      <c r="B594" s="177"/>
      <c r="C594" s="425" t="s">
        <v>113</v>
      </c>
      <c r="D594" s="177"/>
      <c r="E594" s="177"/>
      <c r="F594" s="177"/>
      <c r="G594" s="415"/>
      <c r="H594" s="423" t="s">
        <v>380</v>
      </c>
      <c r="I594" s="421"/>
      <c r="J594" s="420"/>
      <c r="K594" s="415"/>
      <c r="L594" s="421" t="s">
        <v>110</v>
      </c>
      <c r="M594" s="415"/>
    </row>
    <row r="595" spans="1:13" ht="15">
      <c r="A595" s="426"/>
      <c r="B595" s="177"/>
      <c r="C595" s="425" t="s">
        <v>118</v>
      </c>
      <c r="D595" s="177"/>
      <c r="E595" s="427"/>
      <c r="F595" s="415"/>
      <c r="G595" s="415"/>
      <c r="H595" s="428" t="s">
        <v>378</v>
      </c>
      <c r="I595" s="429"/>
      <c r="J595" s="417"/>
      <c r="K595" s="415"/>
      <c r="L595" s="429" t="s">
        <v>111</v>
      </c>
      <c r="M595" s="415"/>
    </row>
    <row r="596" spans="1:14" ht="15">
      <c r="A596" s="426"/>
      <c r="B596" s="421"/>
      <c r="C596" s="421"/>
      <c r="D596" s="430"/>
      <c r="E596" s="421"/>
      <c r="F596" s="429"/>
      <c r="G596" s="421"/>
      <c r="H596" s="430"/>
      <c r="I596" s="427"/>
      <c r="J596" s="421"/>
      <c r="K596" s="421"/>
      <c r="L596" s="429"/>
      <c r="M596" s="429"/>
      <c r="N596" s="163"/>
    </row>
    <row r="597" spans="1:13" ht="13.5">
      <c r="A597" s="179"/>
      <c r="B597" s="179"/>
      <c r="C597" s="179"/>
      <c r="D597" s="179"/>
      <c r="E597" s="179"/>
      <c r="F597" s="15"/>
      <c r="G597" s="179"/>
      <c r="H597" s="179"/>
      <c r="I597" s="179"/>
      <c r="J597" s="179"/>
      <c r="K597" s="180"/>
      <c r="M597" s="161"/>
    </row>
    <row r="598" spans="1:14" ht="13.5">
      <c r="A598" s="12"/>
      <c r="B598" s="12"/>
      <c r="C598" s="12"/>
      <c r="D598" s="12"/>
      <c r="E598" s="12"/>
      <c r="F598" s="12"/>
      <c r="G598" s="12"/>
      <c r="H598" s="12"/>
      <c r="I598" s="12"/>
      <c r="J598" s="15"/>
      <c r="K598" s="12"/>
      <c r="L598" s="12"/>
      <c r="M598" s="142"/>
      <c r="N598" s="12"/>
    </row>
    <row r="599" spans="1:14" ht="12.75">
      <c r="A599" s="12"/>
      <c r="B599" s="181"/>
      <c r="C599" s="12"/>
      <c r="D599" s="12"/>
      <c r="E599" s="12"/>
      <c r="F599" s="12"/>
      <c r="G599" s="12"/>
      <c r="H599" s="12"/>
      <c r="I599" s="12"/>
      <c r="J599" s="12"/>
      <c r="K599" s="12"/>
      <c r="L599" s="12"/>
      <c r="M599" s="142"/>
      <c r="N599" s="12"/>
    </row>
    <row r="600" spans="4:14" ht="13.5">
      <c r="D600" s="15"/>
      <c r="E600" s="15"/>
      <c r="F600" s="15"/>
      <c r="G600" s="15"/>
      <c r="H600" s="100"/>
      <c r="I600" s="100"/>
      <c r="J600" s="15"/>
      <c r="K600" s="15"/>
      <c r="L600" s="15"/>
      <c r="M600" s="15"/>
      <c r="N600" s="15"/>
    </row>
    <row r="601" spans="4:14" ht="13.5">
      <c r="D601" s="15"/>
      <c r="E601" s="15"/>
      <c r="F601" s="15"/>
      <c r="G601" s="15"/>
      <c r="H601" s="100"/>
      <c r="I601" s="100"/>
      <c r="J601" s="15"/>
      <c r="K601" s="15"/>
      <c r="L601" s="15"/>
      <c r="M601" s="15"/>
      <c r="N601" s="15"/>
    </row>
    <row r="602" spans="1:14" ht="13.5">
      <c r="A602" s="15"/>
      <c r="B602" s="15"/>
      <c r="C602" s="15"/>
      <c r="D602" s="15"/>
      <c r="E602" s="15"/>
      <c r="F602" s="15"/>
      <c r="G602" s="15"/>
      <c r="H602" s="100"/>
      <c r="I602" s="100"/>
      <c r="J602" s="15"/>
      <c r="K602" s="15"/>
      <c r="L602" s="15"/>
      <c r="M602" s="15"/>
      <c r="N602" s="15"/>
    </row>
  </sheetData>
  <sheetProtection/>
  <mergeCells count="1">
    <mergeCell ref="A8:M8"/>
  </mergeCells>
  <printOptions/>
  <pageMargins left="0.2755905511811024" right="0.15748031496062992" top="0.7480314960629921" bottom="0.7874015748031497" header="0.31496062992125984" footer="0.3937007874015748"/>
  <pageSetup fitToHeight="6" horizontalDpi="600" verticalDpi="600" orientation="landscape" paperSize="9" scale="95" r:id="rId4"/>
  <headerFooter alignWithMargins="0">
    <oddFooter xml:space="preserve">&amp;C&amp;8Pagina &amp;P din &amp;N&amp;R&amp;8(L1) HCL nr.  din 
Lista  obiectelor de investiții 
 </oddFooter>
  </headerFooter>
  <ignoredErrors>
    <ignoredError sqref="G352:G353 G359:G360"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46"/>
  </sheetPr>
  <dimension ref="A1:P260"/>
  <sheetViews>
    <sheetView view="pageBreakPreview" zoomScaleNormal="115" zoomScaleSheetLayoutView="100" zoomScalePageLayoutView="0" workbookViewId="0" topLeftCell="A80">
      <selection activeCell="B82" sqref="B1:B16384"/>
    </sheetView>
  </sheetViews>
  <sheetFormatPr defaultColWidth="9.140625" defaultRowHeight="12.75"/>
  <cols>
    <col min="1" max="1" width="4.140625" style="12" customWidth="1"/>
    <col min="2" max="2" width="40.140625" style="12" customWidth="1"/>
    <col min="3" max="3" width="9.7109375" style="88" customWidth="1"/>
    <col min="4" max="4" width="7.421875" style="12" customWidth="1"/>
    <col min="5" max="5" width="8.57421875" style="12" customWidth="1"/>
    <col min="6" max="6" width="9.28125" style="12" customWidth="1"/>
    <col min="7" max="7" width="7.00390625" style="12" customWidth="1"/>
    <col min="8" max="8" width="8.140625" style="12" customWidth="1"/>
    <col min="9" max="9" width="6.7109375" style="12" customWidth="1"/>
    <col min="10" max="10" width="5.57421875" style="12" customWidth="1"/>
    <col min="11" max="11" width="6.57421875" style="12" customWidth="1"/>
    <col min="12" max="12" width="7.140625" style="12" customWidth="1"/>
    <col min="13" max="13" width="7.421875" style="12" customWidth="1"/>
    <col min="14" max="14" width="5.7109375" style="12" customWidth="1"/>
    <col min="15" max="15" width="5.57421875" style="86" bestFit="1" customWidth="1"/>
    <col min="16" max="16" width="9.140625" style="12" customWidth="1"/>
    <col min="17" max="17" width="10.140625" style="12" bestFit="1" customWidth="1"/>
    <col min="18" max="16384" width="9.140625" style="12" customWidth="1"/>
  </cols>
  <sheetData>
    <row r="1" spans="1:14" ht="14.25">
      <c r="A1" s="84"/>
      <c r="B1" s="85"/>
      <c r="C1" s="372"/>
      <c r="D1" s="367"/>
      <c r="E1" s="367"/>
      <c r="F1" s="365"/>
      <c r="G1" s="366"/>
      <c r="H1" s="367"/>
      <c r="I1" s="367"/>
      <c r="J1" s="367"/>
      <c r="K1" s="368"/>
      <c r="N1" s="161" t="s">
        <v>68</v>
      </c>
    </row>
    <row r="2" spans="1:12" ht="14.25">
      <c r="A2" s="84"/>
      <c r="B2" s="87"/>
      <c r="C2" s="372"/>
      <c r="D2" s="432"/>
      <c r="E2" s="433" t="s">
        <v>22</v>
      </c>
      <c r="F2" s="432"/>
      <c r="G2" s="433" t="s">
        <v>64</v>
      </c>
      <c r="H2" s="433"/>
      <c r="I2" s="433"/>
      <c r="J2" s="433"/>
      <c r="K2" s="433" t="s">
        <v>23</v>
      </c>
      <c r="L2" s="432"/>
    </row>
    <row r="3" spans="1:12" ht="14.25">
      <c r="A3" s="84"/>
      <c r="B3" s="87"/>
      <c r="C3" s="372"/>
      <c r="D3" s="432"/>
      <c r="E3" s="433" t="s">
        <v>251</v>
      </c>
      <c r="F3" s="432"/>
      <c r="G3" s="420"/>
      <c r="H3" s="433"/>
      <c r="I3" s="433"/>
      <c r="J3" s="433"/>
      <c r="K3" s="433" t="s">
        <v>75</v>
      </c>
      <c r="L3" s="432"/>
    </row>
    <row r="4" spans="1:13" ht="15" customHeight="1">
      <c r="A4" s="84"/>
      <c r="B4" s="87"/>
      <c r="C4" s="372"/>
      <c r="D4" s="432"/>
      <c r="E4" s="433" t="s">
        <v>212</v>
      </c>
      <c r="F4" s="435"/>
      <c r="G4" s="421"/>
      <c r="H4" s="421"/>
      <c r="I4" s="421"/>
      <c r="J4" s="421"/>
      <c r="K4" s="433" t="s">
        <v>117</v>
      </c>
      <c r="L4" s="432"/>
      <c r="M4" s="89"/>
    </row>
    <row r="5" spans="1:13" ht="13.5" customHeight="1">
      <c r="A5" s="84"/>
      <c r="B5" s="222" t="s">
        <v>393</v>
      </c>
      <c r="C5" s="372"/>
      <c r="D5" s="432"/>
      <c r="E5" s="431" t="s">
        <v>241</v>
      </c>
      <c r="F5" s="432"/>
      <c r="G5" s="432"/>
      <c r="H5" s="432"/>
      <c r="I5" s="432"/>
      <c r="J5" s="432"/>
      <c r="K5" s="432"/>
      <c r="L5" s="432"/>
      <c r="M5" s="89"/>
    </row>
    <row r="6" spans="1:13" ht="22.5" customHeight="1">
      <c r="A6" s="84"/>
      <c r="B6" s="222"/>
      <c r="C6" s="372"/>
      <c r="D6" s="431"/>
      <c r="E6" s="432"/>
      <c r="F6" s="432"/>
      <c r="G6" s="432"/>
      <c r="H6" s="432"/>
      <c r="I6" s="432"/>
      <c r="J6" s="432"/>
      <c r="K6" s="432"/>
      <c r="L6" s="432"/>
      <c r="M6" s="89"/>
    </row>
    <row r="7" spans="1:14" ht="54.75" customHeight="1">
      <c r="A7" s="458" t="s">
        <v>394</v>
      </c>
      <c r="B7" s="458"/>
      <c r="C7" s="458"/>
      <c r="D7" s="458"/>
      <c r="E7" s="458"/>
      <c r="F7" s="458"/>
      <c r="G7" s="458"/>
      <c r="H7" s="458"/>
      <c r="I7" s="458"/>
      <c r="J7" s="458"/>
      <c r="K7" s="458"/>
      <c r="L7" s="458"/>
      <c r="M7" s="458"/>
      <c r="N7" s="458"/>
    </row>
    <row r="8" spans="1:14" ht="32.25" customHeight="1">
      <c r="A8" s="265"/>
      <c r="B8" s="264"/>
      <c r="C8" s="264"/>
      <c r="D8" s="264"/>
      <c r="E8" s="264"/>
      <c r="F8" s="264"/>
      <c r="G8" s="264"/>
      <c r="H8" s="264"/>
      <c r="I8" s="264"/>
      <c r="J8" s="264"/>
      <c r="K8" s="264"/>
      <c r="L8" s="264"/>
      <c r="M8" s="264"/>
      <c r="N8" s="264"/>
    </row>
    <row r="9" spans="1:15" s="94" customFormat="1" ht="51.75" customHeight="1" thickBot="1">
      <c r="A9" s="90" t="s">
        <v>87</v>
      </c>
      <c r="B9" s="13"/>
      <c r="C9" s="91"/>
      <c r="D9" s="92"/>
      <c r="E9" s="92"/>
      <c r="F9" s="13"/>
      <c r="G9" s="13"/>
      <c r="H9" s="13"/>
      <c r="I9" s="13"/>
      <c r="J9" s="13"/>
      <c r="K9" s="13"/>
      <c r="L9" s="89"/>
      <c r="M9" s="13"/>
      <c r="N9" s="93" t="s">
        <v>16</v>
      </c>
      <c r="O9" s="86"/>
    </row>
    <row r="10" spans="1:15" s="94" customFormat="1" ht="48" thickBot="1">
      <c r="A10" s="224" t="s">
        <v>17</v>
      </c>
      <c r="B10" s="225" t="s">
        <v>19</v>
      </c>
      <c r="C10" s="226" t="s">
        <v>47</v>
      </c>
      <c r="D10" s="225" t="s">
        <v>185</v>
      </c>
      <c r="E10" s="227" t="s">
        <v>44</v>
      </c>
      <c r="F10" s="228" t="s">
        <v>395</v>
      </c>
      <c r="G10" s="228" t="s">
        <v>93</v>
      </c>
      <c r="H10" s="387" t="s">
        <v>396</v>
      </c>
      <c r="I10" s="108" t="s">
        <v>388</v>
      </c>
      <c r="J10" s="109" t="s">
        <v>45</v>
      </c>
      <c r="K10" s="229" t="s">
        <v>392</v>
      </c>
      <c r="L10" s="228" t="s">
        <v>173</v>
      </c>
      <c r="M10" s="228" t="s">
        <v>21</v>
      </c>
      <c r="N10" s="230" t="s">
        <v>31</v>
      </c>
      <c r="O10" s="86"/>
    </row>
    <row r="11" spans="1:15" s="94" customFormat="1" ht="65.25" customHeight="1">
      <c r="A11" s="284">
        <v>1</v>
      </c>
      <c r="B11" s="285" t="s">
        <v>541</v>
      </c>
      <c r="C11" s="286" t="s">
        <v>196</v>
      </c>
      <c r="D11" s="308">
        <f>2+155</f>
        <v>157</v>
      </c>
      <c r="E11" s="293">
        <f aca="true" t="shared" si="0" ref="E11:E22">D11</f>
        <v>157</v>
      </c>
      <c r="F11" s="293">
        <v>2</v>
      </c>
      <c r="G11" s="308">
        <f aca="true" t="shared" si="1" ref="G11:G33">D11-F11</f>
        <v>155</v>
      </c>
      <c r="H11" s="388">
        <f>SUM(I11:N11)</f>
        <v>155</v>
      </c>
      <c r="I11" s="293"/>
      <c r="J11" s="292"/>
      <c r="K11" s="293"/>
      <c r="L11" s="293"/>
      <c r="M11" s="293">
        <v>155</v>
      </c>
      <c r="N11" s="308"/>
      <c r="O11" s="294" t="s">
        <v>30</v>
      </c>
    </row>
    <row r="12" spans="1:15" s="95" customFormat="1" ht="55.5">
      <c r="A12" s="284">
        <v>2</v>
      </c>
      <c r="B12" s="318" t="s">
        <v>475</v>
      </c>
      <c r="C12" s="312" t="s">
        <v>196</v>
      </c>
      <c r="D12" s="307">
        <v>375</v>
      </c>
      <c r="E12" s="307">
        <f>D12</f>
        <v>375</v>
      </c>
      <c r="F12" s="308">
        <v>0</v>
      </c>
      <c r="G12" s="290">
        <f>D12-F12</f>
        <v>375</v>
      </c>
      <c r="H12" s="388">
        <f>SUM(I12:N12)</f>
        <v>375</v>
      </c>
      <c r="I12" s="308"/>
      <c r="J12" s="291"/>
      <c r="K12" s="290"/>
      <c r="L12" s="290"/>
      <c r="M12" s="308">
        <v>375</v>
      </c>
      <c r="N12" s="290"/>
      <c r="O12" s="294" t="s">
        <v>30</v>
      </c>
    </row>
    <row r="13" spans="1:15" s="94" customFormat="1" ht="42">
      <c r="A13" s="284">
        <v>3</v>
      </c>
      <c r="B13" s="285" t="s">
        <v>248</v>
      </c>
      <c r="C13" s="286" t="s">
        <v>196</v>
      </c>
      <c r="D13" s="308">
        <v>100</v>
      </c>
      <c r="E13" s="293">
        <f t="shared" si="0"/>
        <v>100</v>
      </c>
      <c r="F13" s="293">
        <v>0</v>
      </c>
      <c r="G13" s="308">
        <f t="shared" si="1"/>
        <v>100</v>
      </c>
      <c r="H13" s="388">
        <f aca="true" t="shared" si="2" ref="H13:H56">SUM(I13:N13)</f>
        <v>100</v>
      </c>
      <c r="I13" s="293"/>
      <c r="J13" s="292"/>
      <c r="K13" s="293"/>
      <c r="L13" s="293"/>
      <c r="M13" s="293">
        <v>100</v>
      </c>
      <c r="N13" s="308"/>
      <c r="O13" s="294" t="s">
        <v>30</v>
      </c>
    </row>
    <row r="14" spans="1:15" s="95" customFormat="1" ht="73.5" customHeight="1">
      <c r="A14" s="284">
        <v>4</v>
      </c>
      <c r="B14" s="306" t="s">
        <v>254</v>
      </c>
      <c r="C14" s="327" t="s">
        <v>196</v>
      </c>
      <c r="D14" s="307">
        <v>321</v>
      </c>
      <c r="E14" s="293">
        <f>D14</f>
        <v>321</v>
      </c>
      <c r="F14" s="308">
        <v>0</v>
      </c>
      <c r="G14" s="290">
        <f>D14-F14</f>
        <v>321</v>
      </c>
      <c r="H14" s="388">
        <f>SUM(I14:N14)</f>
        <v>321</v>
      </c>
      <c r="I14" s="308"/>
      <c r="J14" s="291"/>
      <c r="K14" s="290">
        <v>0</v>
      </c>
      <c r="L14" s="290"/>
      <c r="M14" s="308">
        <v>321</v>
      </c>
      <c r="N14" s="290"/>
      <c r="O14" s="294" t="s">
        <v>30</v>
      </c>
    </row>
    <row r="15" spans="1:15" s="95" customFormat="1" ht="42">
      <c r="A15" s="284">
        <v>5</v>
      </c>
      <c r="B15" s="318" t="s">
        <v>257</v>
      </c>
      <c r="C15" s="312" t="s">
        <v>196</v>
      </c>
      <c r="D15" s="307">
        <v>75</v>
      </c>
      <c r="E15" s="307">
        <f>D15</f>
        <v>75</v>
      </c>
      <c r="F15" s="308">
        <v>0</v>
      </c>
      <c r="G15" s="290">
        <f>D15-F15</f>
        <v>75</v>
      </c>
      <c r="H15" s="388">
        <f>SUM(I15:N15)</f>
        <v>75</v>
      </c>
      <c r="I15" s="308"/>
      <c r="J15" s="291"/>
      <c r="K15" s="290"/>
      <c r="L15" s="290"/>
      <c r="M15" s="308">
        <v>75</v>
      </c>
      <c r="N15" s="290"/>
      <c r="O15" s="294" t="s">
        <v>30</v>
      </c>
    </row>
    <row r="16" spans="1:15" s="94" customFormat="1" ht="72" customHeight="1">
      <c r="A16" s="284">
        <v>6</v>
      </c>
      <c r="B16" s="306" t="s">
        <v>519</v>
      </c>
      <c r="C16" s="312" t="s">
        <v>211</v>
      </c>
      <c r="D16" s="307">
        <v>500</v>
      </c>
      <c r="E16" s="293">
        <f t="shared" si="0"/>
        <v>500</v>
      </c>
      <c r="F16" s="308">
        <v>0</v>
      </c>
      <c r="G16" s="290">
        <f t="shared" si="1"/>
        <v>500</v>
      </c>
      <c r="H16" s="388">
        <f t="shared" si="2"/>
        <v>500</v>
      </c>
      <c r="I16" s="308"/>
      <c r="J16" s="291"/>
      <c r="K16" s="290">
        <v>0</v>
      </c>
      <c r="L16" s="290"/>
      <c r="M16" s="308">
        <v>500</v>
      </c>
      <c r="N16" s="290"/>
      <c r="O16" s="294" t="s">
        <v>30</v>
      </c>
    </row>
    <row r="17" spans="1:15" s="94" customFormat="1" ht="64.5" customHeight="1">
      <c r="A17" s="284">
        <v>7</v>
      </c>
      <c r="B17" s="306" t="s">
        <v>532</v>
      </c>
      <c r="C17" s="312" t="s">
        <v>211</v>
      </c>
      <c r="D17" s="307">
        <f>160-129</f>
        <v>31</v>
      </c>
      <c r="E17" s="293">
        <f t="shared" si="0"/>
        <v>31</v>
      </c>
      <c r="F17" s="308">
        <v>0</v>
      </c>
      <c r="G17" s="290">
        <f t="shared" si="1"/>
        <v>31</v>
      </c>
      <c r="H17" s="388">
        <f t="shared" si="2"/>
        <v>31</v>
      </c>
      <c r="I17" s="308"/>
      <c r="J17" s="291"/>
      <c r="K17" s="290">
        <v>0</v>
      </c>
      <c r="L17" s="290"/>
      <c r="M17" s="308">
        <f>160-129</f>
        <v>31</v>
      </c>
      <c r="N17" s="290"/>
      <c r="O17" s="294" t="s">
        <v>30</v>
      </c>
    </row>
    <row r="18" spans="1:15" s="95" customFormat="1" ht="69.75">
      <c r="A18" s="284">
        <v>8</v>
      </c>
      <c r="B18" s="318" t="s">
        <v>533</v>
      </c>
      <c r="C18" s="312" t="s">
        <v>211</v>
      </c>
      <c r="D18" s="307">
        <v>295</v>
      </c>
      <c r="E18" s="307">
        <f>D18</f>
        <v>295</v>
      </c>
      <c r="F18" s="308">
        <v>0</v>
      </c>
      <c r="G18" s="290">
        <f>D18-F18</f>
        <v>295</v>
      </c>
      <c r="H18" s="388">
        <f>SUM(I18:N18)</f>
        <v>295</v>
      </c>
      <c r="I18" s="308"/>
      <c r="J18" s="291"/>
      <c r="K18" s="290"/>
      <c r="L18" s="290"/>
      <c r="M18" s="308">
        <v>295</v>
      </c>
      <c r="N18" s="290"/>
      <c r="O18" s="294" t="s">
        <v>30</v>
      </c>
    </row>
    <row r="19" spans="1:15" s="95" customFormat="1" ht="69.75">
      <c r="A19" s="284">
        <v>9</v>
      </c>
      <c r="B19" s="318" t="s">
        <v>534</v>
      </c>
      <c r="C19" s="312" t="s">
        <v>211</v>
      </c>
      <c r="D19" s="307">
        <v>39</v>
      </c>
      <c r="E19" s="307">
        <f>D19</f>
        <v>39</v>
      </c>
      <c r="F19" s="308">
        <v>0</v>
      </c>
      <c r="G19" s="290">
        <f>D19-F19</f>
        <v>39</v>
      </c>
      <c r="H19" s="388">
        <f>SUM(I19:N19)</f>
        <v>39</v>
      </c>
      <c r="I19" s="308"/>
      <c r="J19" s="291"/>
      <c r="K19" s="290"/>
      <c r="L19" s="290"/>
      <c r="M19" s="308">
        <v>39</v>
      </c>
      <c r="N19" s="290"/>
      <c r="O19" s="294" t="s">
        <v>30</v>
      </c>
    </row>
    <row r="20" spans="1:15" s="95" customFormat="1" ht="84">
      <c r="A20" s="284">
        <v>10</v>
      </c>
      <c r="B20" s="318" t="s">
        <v>535</v>
      </c>
      <c r="C20" s="312" t="s">
        <v>211</v>
      </c>
      <c r="D20" s="307">
        <v>100</v>
      </c>
      <c r="E20" s="307">
        <f>D20</f>
        <v>100</v>
      </c>
      <c r="F20" s="308">
        <v>0</v>
      </c>
      <c r="G20" s="290">
        <f>D20-F20</f>
        <v>100</v>
      </c>
      <c r="H20" s="388">
        <f>SUM(I20:N20)</f>
        <v>100</v>
      </c>
      <c r="I20" s="308"/>
      <c r="J20" s="291"/>
      <c r="K20" s="290"/>
      <c r="L20" s="290"/>
      <c r="M20" s="308">
        <v>100</v>
      </c>
      <c r="N20" s="290"/>
      <c r="O20" s="294" t="s">
        <v>30</v>
      </c>
    </row>
    <row r="21" spans="1:15" s="94" customFormat="1" ht="118.5" customHeight="1">
      <c r="A21" s="284">
        <v>11</v>
      </c>
      <c r="B21" s="411" t="s">
        <v>230</v>
      </c>
      <c r="C21" s="327" t="s">
        <v>219</v>
      </c>
      <c r="D21" s="307">
        <f>550+152</f>
        <v>702</v>
      </c>
      <c r="E21" s="293">
        <f t="shared" si="0"/>
        <v>702</v>
      </c>
      <c r="F21" s="308">
        <v>152</v>
      </c>
      <c r="G21" s="290">
        <f t="shared" si="1"/>
        <v>550</v>
      </c>
      <c r="H21" s="388">
        <f t="shared" si="2"/>
        <v>550</v>
      </c>
      <c r="I21" s="308"/>
      <c r="J21" s="291"/>
      <c r="K21" s="290">
        <v>550</v>
      </c>
      <c r="L21" s="290"/>
      <c r="M21" s="308">
        <v>0</v>
      </c>
      <c r="N21" s="290"/>
      <c r="O21" s="294" t="s">
        <v>30</v>
      </c>
    </row>
    <row r="22" spans="1:15" s="94" customFormat="1" ht="118.5" customHeight="1">
      <c r="A22" s="284">
        <v>12</v>
      </c>
      <c r="B22" s="318" t="s">
        <v>132</v>
      </c>
      <c r="C22" s="338" t="s">
        <v>219</v>
      </c>
      <c r="D22" s="307">
        <f>1700+1425</f>
        <v>3125</v>
      </c>
      <c r="E22" s="307">
        <f t="shared" si="0"/>
        <v>3125</v>
      </c>
      <c r="F22" s="308">
        <f>191+471+763</f>
        <v>1425</v>
      </c>
      <c r="G22" s="290">
        <f t="shared" si="1"/>
        <v>1700</v>
      </c>
      <c r="H22" s="388">
        <f>SUM(K22:N22)</f>
        <v>1700</v>
      </c>
      <c r="I22" s="291"/>
      <c r="J22" s="291"/>
      <c r="K22" s="290"/>
      <c r="L22" s="290"/>
      <c r="M22" s="308">
        <v>1700</v>
      </c>
      <c r="N22" s="290"/>
      <c r="O22" s="294" t="s">
        <v>30</v>
      </c>
    </row>
    <row r="23" spans="1:15" s="94" customFormat="1" ht="129.75" customHeight="1">
      <c r="A23" s="284">
        <v>13</v>
      </c>
      <c r="B23" s="318" t="s">
        <v>143</v>
      </c>
      <c r="C23" s="327" t="s">
        <v>219</v>
      </c>
      <c r="D23" s="307">
        <f>1300+935</f>
        <v>2235</v>
      </c>
      <c r="E23" s="293">
        <f aca="true" t="shared" si="3" ref="E23:E30">D23</f>
        <v>2235</v>
      </c>
      <c r="F23" s="308">
        <f>407+528</f>
        <v>935</v>
      </c>
      <c r="G23" s="290">
        <f t="shared" si="1"/>
        <v>1300</v>
      </c>
      <c r="H23" s="388">
        <f t="shared" si="2"/>
        <v>1300</v>
      </c>
      <c r="I23" s="308"/>
      <c r="J23" s="291"/>
      <c r="K23" s="290"/>
      <c r="L23" s="290"/>
      <c r="M23" s="308">
        <v>1300</v>
      </c>
      <c r="N23" s="290"/>
      <c r="O23" s="294" t="s">
        <v>30</v>
      </c>
    </row>
    <row r="24" spans="1:15" s="94" customFormat="1" ht="97.5">
      <c r="A24" s="284">
        <v>14</v>
      </c>
      <c r="B24" s="318" t="s">
        <v>348</v>
      </c>
      <c r="C24" s="327" t="s">
        <v>219</v>
      </c>
      <c r="D24" s="307">
        <f>500+16</f>
        <v>516</v>
      </c>
      <c r="E24" s="293">
        <f t="shared" si="3"/>
        <v>516</v>
      </c>
      <c r="F24" s="308">
        <f>11+5</f>
        <v>16</v>
      </c>
      <c r="G24" s="290">
        <f t="shared" si="1"/>
        <v>500</v>
      </c>
      <c r="H24" s="388">
        <f t="shared" si="2"/>
        <v>500</v>
      </c>
      <c r="I24" s="308"/>
      <c r="J24" s="291"/>
      <c r="K24" s="290"/>
      <c r="L24" s="290"/>
      <c r="M24" s="308">
        <v>500</v>
      </c>
      <c r="N24" s="290"/>
      <c r="O24" s="346" t="s">
        <v>30</v>
      </c>
    </row>
    <row r="25" spans="1:15" s="94" customFormat="1" ht="113.25" customHeight="1">
      <c r="A25" s="284">
        <v>15</v>
      </c>
      <c r="B25" s="318" t="s">
        <v>244</v>
      </c>
      <c r="C25" s="327" t="s">
        <v>219</v>
      </c>
      <c r="D25" s="307">
        <f>50+456</f>
        <v>506</v>
      </c>
      <c r="E25" s="293">
        <f t="shared" si="3"/>
        <v>506</v>
      </c>
      <c r="F25" s="308">
        <f>109+347</f>
        <v>456</v>
      </c>
      <c r="G25" s="290">
        <f t="shared" si="1"/>
        <v>50</v>
      </c>
      <c r="H25" s="388">
        <f t="shared" si="2"/>
        <v>50</v>
      </c>
      <c r="I25" s="308"/>
      <c r="J25" s="291"/>
      <c r="K25" s="290"/>
      <c r="L25" s="290"/>
      <c r="M25" s="308">
        <v>50</v>
      </c>
      <c r="N25" s="290"/>
      <c r="O25" s="294" t="s">
        <v>30</v>
      </c>
    </row>
    <row r="26" spans="1:15" s="94" customFormat="1" ht="121.5" customHeight="1">
      <c r="A26" s="284">
        <v>16</v>
      </c>
      <c r="B26" s="318" t="s">
        <v>245</v>
      </c>
      <c r="C26" s="327" t="s">
        <v>219</v>
      </c>
      <c r="D26" s="307">
        <f>200+127</f>
        <v>327</v>
      </c>
      <c r="E26" s="293">
        <f t="shared" si="3"/>
        <v>327</v>
      </c>
      <c r="F26" s="308">
        <v>127</v>
      </c>
      <c r="G26" s="290">
        <f t="shared" si="1"/>
        <v>200</v>
      </c>
      <c r="H26" s="388">
        <f t="shared" si="2"/>
        <v>200</v>
      </c>
      <c r="I26" s="308"/>
      <c r="J26" s="291"/>
      <c r="K26" s="290"/>
      <c r="L26" s="290"/>
      <c r="M26" s="308">
        <v>200</v>
      </c>
      <c r="N26" s="290"/>
      <c r="O26" s="294" t="s">
        <v>30</v>
      </c>
    </row>
    <row r="27" spans="1:15" s="95" customFormat="1" ht="67.5" customHeight="1">
      <c r="A27" s="284">
        <v>17</v>
      </c>
      <c r="B27" s="306" t="s">
        <v>146</v>
      </c>
      <c r="C27" s="327" t="s">
        <v>219</v>
      </c>
      <c r="D27" s="307">
        <v>1195</v>
      </c>
      <c r="E27" s="293">
        <f t="shared" si="3"/>
        <v>1195</v>
      </c>
      <c r="F27" s="308">
        <f>156+39</f>
        <v>195</v>
      </c>
      <c r="G27" s="290">
        <f t="shared" si="1"/>
        <v>1000</v>
      </c>
      <c r="H27" s="388">
        <f t="shared" si="2"/>
        <v>1000</v>
      </c>
      <c r="I27" s="308"/>
      <c r="J27" s="291"/>
      <c r="K27" s="290">
        <v>0</v>
      </c>
      <c r="L27" s="290"/>
      <c r="M27" s="308">
        <v>1000</v>
      </c>
      <c r="N27" s="290"/>
      <c r="O27" s="294" t="s">
        <v>30</v>
      </c>
    </row>
    <row r="28" spans="1:15" s="95" customFormat="1" ht="52.5" customHeight="1">
      <c r="A28" s="284">
        <v>18</v>
      </c>
      <c r="B28" s="306" t="s">
        <v>235</v>
      </c>
      <c r="C28" s="327" t="s">
        <v>219</v>
      </c>
      <c r="D28" s="307">
        <f>10-9</f>
        <v>1</v>
      </c>
      <c r="E28" s="293">
        <f t="shared" si="3"/>
        <v>1</v>
      </c>
      <c r="F28" s="308">
        <v>0</v>
      </c>
      <c r="G28" s="290">
        <f t="shared" si="1"/>
        <v>1</v>
      </c>
      <c r="H28" s="388">
        <f t="shared" si="2"/>
        <v>1</v>
      </c>
      <c r="I28" s="308"/>
      <c r="J28" s="291"/>
      <c r="K28" s="290">
        <v>0</v>
      </c>
      <c r="L28" s="290"/>
      <c r="M28" s="308">
        <f>10-9</f>
        <v>1</v>
      </c>
      <c r="N28" s="290"/>
      <c r="O28" s="294" t="s">
        <v>30</v>
      </c>
    </row>
    <row r="29" spans="1:15" s="95" customFormat="1" ht="103.5" customHeight="1">
      <c r="A29" s="284">
        <v>19</v>
      </c>
      <c r="B29" s="306" t="s">
        <v>175</v>
      </c>
      <c r="C29" s="327" t="s">
        <v>219</v>
      </c>
      <c r="D29" s="307">
        <f>70+34</f>
        <v>104</v>
      </c>
      <c r="E29" s="293">
        <f t="shared" si="3"/>
        <v>104</v>
      </c>
      <c r="F29" s="308">
        <v>34</v>
      </c>
      <c r="G29" s="290">
        <f t="shared" si="1"/>
        <v>70</v>
      </c>
      <c r="H29" s="388">
        <f t="shared" si="2"/>
        <v>70</v>
      </c>
      <c r="I29" s="308"/>
      <c r="J29" s="291"/>
      <c r="K29" s="290">
        <v>0</v>
      </c>
      <c r="L29" s="290"/>
      <c r="M29" s="308">
        <v>70</v>
      </c>
      <c r="N29" s="290"/>
      <c r="O29" s="294" t="s">
        <v>30</v>
      </c>
    </row>
    <row r="30" spans="1:15" s="95" customFormat="1" ht="120.75" customHeight="1">
      <c r="A30" s="284">
        <v>20</v>
      </c>
      <c r="B30" s="306" t="s">
        <v>176</v>
      </c>
      <c r="C30" s="327" t="s">
        <v>219</v>
      </c>
      <c r="D30" s="307">
        <f>40+101</f>
        <v>141</v>
      </c>
      <c r="E30" s="293">
        <f t="shared" si="3"/>
        <v>141</v>
      </c>
      <c r="F30" s="308">
        <v>101</v>
      </c>
      <c r="G30" s="290">
        <f t="shared" si="1"/>
        <v>40</v>
      </c>
      <c r="H30" s="388">
        <f t="shared" si="2"/>
        <v>40</v>
      </c>
      <c r="I30" s="308"/>
      <c r="J30" s="291"/>
      <c r="K30" s="290">
        <v>0</v>
      </c>
      <c r="L30" s="290"/>
      <c r="M30" s="308">
        <v>40</v>
      </c>
      <c r="N30" s="290"/>
      <c r="O30" s="294" t="s">
        <v>30</v>
      </c>
    </row>
    <row r="31" spans="1:15" s="95" customFormat="1" ht="117" customHeight="1">
      <c r="A31" s="284">
        <v>21</v>
      </c>
      <c r="B31" s="306" t="s">
        <v>177</v>
      </c>
      <c r="C31" s="327" t="s">
        <v>219</v>
      </c>
      <c r="D31" s="307">
        <f>30+77</f>
        <v>107</v>
      </c>
      <c r="E31" s="293">
        <f>D31</f>
        <v>107</v>
      </c>
      <c r="F31" s="308">
        <v>77</v>
      </c>
      <c r="G31" s="290">
        <f t="shared" si="1"/>
        <v>30</v>
      </c>
      <c r="H31" s="388">
        <f t="shared" si="2"/>
        <v>30</v>
      </c>
      <c r="I31" s="308"/>
      <c r="J31" s="291"/>
      <c r="K31" s="290">
        <v>0</v>
      </c>
      <c r="L31" s="290"/>
      <c r="M31" s="308">
        <v>30</v>
      </c>
      <c r="N31" s="290"/>
      <c r="O31" s="294" t="s">
        <v>30</v>
      </c>
    </row>
    <row r="32" spans="1:15" s="95" customFormat="1" ht="119.25" customHeight="1">
      <c r="A32" s="284">
        <v>22</v>
      </c>
      <c r="B32" s="306" t="s">
        <v>264</v>
      </c>
      <c r="C32" s="327" t="s">
        <v>219</v>
      </c>
      <c r="D32" s="307">
        <f>227+370</f>
        <v>597</v>
      </c>
      <c r="E32" s="293">
        <f>D32</f>
        <v>597</v>
      </c>
      <c r="F32" s="308">
        <v>227</v>
      </c>
      <c r="G32" s="290">
        <f t="shared" si="1"/>
        <v>370</v>
      </c>
      <c r="H32" s="388">
        <f t="shared" si="2"/>
        <v>370</v>
      </c>
      <c r="I32" s="308"/>
      <c r="J32" s="291"/>
      <c r="K32" s="290">
        <v>0</v>
      </c>
      <c r="L32" s="290"/>
      <c r="M32" s="308">
        <v>370</v>
      </c>
      <c r="N32" s="290"/>
      <c r="O32" s="294" t="s">
        <v>30</v>
      </c>
    </row>
    <row r="33" spans="1:15" s="95" customFormat="1" ht="103.5" customHeight="1">
      <c r="A33" s="284">
        <v>23</v>
      </c>
      <c r="B33" s="306" t="s">
        <v>267</v>
      </c>
      <c r="C33" s="327" t="s">
        <v>219</v>
      </c>
      <c r="D33" s="307">
        <f>370+165</f>
        <v>535</v>
      </c>
      <c r="E33" s="293">
        <f>D33</f>
        <v>535</v>
      </c>
      <c r="F33" s="308">
        <v>165</v>
      </c>
      <c r="G33" s="290">
        <f t="shared" si="1"/>
        <v>370</v>
      </c>
      <c r="H33" s="388">
        <f t="shared" si="2"/>
        <v>370</v>
      </c>
      <c r="I33" s="308">
        <v>370</v>
      </c>
      <c r="J33" s="291"/>
      <c r="K33" s="290">
        <v>0</v>
      </c>
      <c r="L33" s="290"/>
      <c r="M33" s="308">
        <v>0</v>
      </c>
      <c r="N33" s="290"/>
      <c r="O33" s="294" t="s">
        <v>30</v>
      </c>
    </row>
    <row r="34" spans="1:15" s="95" customFormat="1" ht="97.5">
      <c r="A34" s="284">
        <v>24</v>
      </c>
      <c r="B34" s="306" t="s">
        <v>268</v>
      </c>
      <c r="C34" s="327" t="s">
        <v>219</v>
      </c>
      <c r="D34" s="307">
        <f>220+370</f>
        <v>590</v>
      </c>
      <c r="E34" s="293">
        <f>D34</f>
        <v>590</v>
      </c>
      <c r="F34" s="308">
        <v>220</v>
      </c>
      <c r="G34" s="290">
        <f aca="true" t="shared" si="4" ref="G34:G40">D34-F34</f>
        <v>370</v>
      </c>
      <c r="H34" s="388">
        <f t="shared" si="2"/>
        <v>370</v>
      </c>
      <c r="I34" s="308"/>
      <c r="J34" s="291"/>
      <c r="K34" s="290">
        <v>0</v>
      </c>
      <c r="L34" s="290"/>
      <c r="M34" s="308">
        <v>370</v>
      </c>
      <c r="N34" s="290"/>
      <c r="O34" s="294" t="s">
        <v>30</v>
      </c>
    </row>
    <row r="35" spans="1:15" s="95" customFormat="1" ht="73.5" customHeight="1">
      <c r="A35" s="284">
        <v>25</v>
      </c>
      <c r="B35" s="410" t="s">
        <v>250</v>
      </c>
      <c r="C35" s="327" t="s">
        <v>219</v>
      </c>
      <c r="D35" s="307">
        <v>1</v>
      </c>
      <c r="E35" s="293">
        <f>D35</f>
        <v>1</v>
      </c>
      <c r="F35" s="308">
        <v>0</v>
      </c>
      <c r="G35" s="290">
        <f t="shared" si="4"/>
        <v>1</v>
      </c>
      <c r="H35" s="388">
        <f t="shared" si="2"/>
        <v>1</v>
      </c>
      <c r="I35" s="308"/>
      <c r="J35" s="291"/>
      <c r="K35" s="290">
        <v>0</v>
      </c>
      <c r="L35" s="290"/>
      <c r="M35" s="308">
        <v>1</v>
      </c>
      <c r="N35" s="290"/>
      <c r="O35" s="294" t="s">
        <v>30</v>
      </c>
    </row>
    <row r="36" spans="1:15" s="95" customFormat="1" ht="111" customHeight="1">
      <c r="A36" s="284">
        <v>26</v>
      </c>
      <c r="B36" s="318" t="s">
        <v>269</v>
      </c>
      <c r="C36" s="312" t="s">
        <v>219</v>
      </c>
      <c r="D36" s="307">
        <f>178+370</f>
        <v>548</v>
      </c>
      <c r="E36" s="307">
        <f aca="true" t="shared" si="5" ref="E36:E52">D36</f>
        <v>548</v>
      </c>
      <c r="F36" s="308">
        <v>178</v>
      </c>
      <c r="G36" s="290">
        <f t="shared" si="4"/>
        <v>370</v>
      </c>
      <c r="H36" s="388">
        <f t="shared" si="2"/>
        <v>370</v>
      </c>
      <c r="I36" s="308"/>
      <c r="J36" s="291"/>
      <c r="K36" s="290"/>
      <c r="L36" s="290"/>
      <c r="M36" s="308">
        <v>370</v>
      </c>
      <c r="N36" s="290"/>
      <c r="O36" s="294" t="s">
        <v>30</v>
      </c>
    </row>
    <row r="37" spans="1:15" s="95" customFormat="1" ht="99.75" customHeight="1">
      <c r="A37" s="284">
        <v>27</v>
      </c>
      <c r="B37" s="318" t="s">
        <v>273</v>
      </c>
      <c r="C37" s="312" t="s">
        <v>219</v>
      </c>
      <c r="D37" s="307">
        <f>185+370</f>
        <v>555</v>
      </c>
      <c r="E37" s="307">
        <f t="shared" si="5"/>
        <v>555</v>
      </c>
      <c r="F37" s="308">
        <v>185</v>
      </c>
      <c r="G37" s="290">
        <f t="shared" si="4"/>
        <v>370</v>
      </c>
      <c r="H37" s="388">
        <f t="shared" si="2"/>
        <v>370</v>
      </c>
      <c r="I37" s="308"/>
      <c r="J37" s="291"/>
      <c r="K37" s="290"/>
      <c r="L37" s="290"/>
      <c r="M37" s="308">
        <v>370</v>
      </c>
      <c r="N37" s="290"/>
      <c r="O37" s="294" t="s">
        <v>30</v>
      </c>
    </row>
    <row r="38" spans="1:15" s="95" customFormat="1" ht="97.5">
      <c r="A38" s="284">
        <v>28</v>
      </c>
      <c r="B38" s="318" t="s">
        <v>271</v>
      </c>
      <c r="C38" s="312" t="s">
        <v>219</v>
      </c>
      <c r="D38" s="307">
        <f>209+370</f>
        <v>579</v>
      </c>
      <c r="E38" s="307">
        <f t="shared" si="5"/>
        <v>579</v>
      </c>
      <c r="F38" s="308">
        <v>209</v>
      </c>
      <c r="G38" s="290">
        <f t="shared" si="4"/>
        <v>370</v>
      </c>
      <c r="H38" s="388">
        <f t="shared" si="2"/>
        <v>370</v>
      </c>
      <c r="I38" s="308"/>
      <c r="J38" s="291"/>
      <c r="K38" s="290"/>
      <c r="L38" s="290"/>
      <c r="M38" s="308">
        <v>370</v>
      </c>
      <c r="N38" s="290"/>
      <c r="O38" s="294" t="s">
        <v>30</v>
      </c>
    </row>
    <row r="39" spans="1:15" s="95" customFormat="1" ht="97.5">
      <c r="A39" s="284">
        <v>29</v>
      </c>
      <c r="B39" s="318" t="s">
        <v>357</v>
      </c>
      <c r="C39" s="312" t="s">
        <v>219</v>
      </c>
      <c r="D39" s="307">
        <f>141+370</f>
        <v>511</v>
      </c>
      <c r="E39" s="307">
        <f t="shared" si="5"/>
        <v>511</v>
      </c>
      <c r="F39" s="308">
        <v>141</v>
      </c>
      <c r="G39" s="290">
        <f t="shared" si="4"/>
        <v>370</v>
      </c>
      <c r="H39" s="388">
        <f t="shared" si="2"/>
        <v>370</v>
      </c>
      <c r="I39" s="308"/>
      <c r="J39" s="291"/>
      <c r="K39" s="290"/>
      <c r="L39" s="290"/>
      <c r="M39" s="308">
        <v>370</v>
      </c>
      <c r="N39" s="290"/>
      <c r="O39" s="294" t="s">
        <v>30</v>
      </c>
    </row>
    <row r="40" spans="1:15" s="95" customFormat="1" ht="97.5">
      <c r="A40" s="284">
        <v>30</v>
      </c>
      <c r="B40" s="318" t="s">
        <v>358</v>
      </c>
      <c r="C40" s="312" t="s">
        <v>219</v>
      </c>
      <c r="D40" s="307">
        <f>149+370</f>
        <v>519</v>
      </c>
      <c r="E40" s="307">
        <f t="shared" si="5"/>
        <v>519</v>
      </c>
      <c r="F40" s="308">
        <v>149</v>
      </c>
      <c r="G40" s="290">
        <f t="shared" si="4"/>
        <v>370</v>
      </c>
      <c r="H40" s="388">
        <f t="shared" si="2"/>
        <v>370</v>
      </c>
      <c r="I40" s="308"/>
      <c r="J40" s="291"/>
      <c r="K40" s="290"/>
      <c r="L40" s="290"/>
      <c r="M40" s="308">
        <v>370</v>
      </c>
      <c r="N40" s="290"/>
      <c r="O40" s="294" t="s">
        <v>30</v>
      </c>
    </row>
    <row r="41" spans="1:15" s="95" customFormat="1" ht="117" customHeight="1">
      <c r="A41" s="284">
        <v>31</v>
      </c>
      <c r="B41" s="318" t="s">
        <v>272</v>
      </c>
      <c r="C41" s="312" t="s">
        <v>219</v>
      </c>
      <c r="D41" s="307">
        <f>300+215</f>
        <v>515</v>
      </c>
      <c r="E41" s="307">
        <f t="shared" si="5"/>
        <v>515</v>
      </c>
      <c r="F41" s="308">
        <v>215</v>
      </c>
      <c r="G41" s="290">
        <f aca="true" t="shared" si="6" ref="G41:G52">D41-F41</f>
        <v>300</v>
      </c>
      <c r="H41" s="388">
        <f t="shared" si="2"/>
        <v>300</v>
      </c>
      <c r="I41" s="308">
        <v>300</v>
      </c>
      <c r="J41" s="291"/>
      <c r="K41" s="290"/>
      <c r="L41" s="290"/>
      <c r="M41" s="308">
        <v>0</v>
      </c>
      <c r="N41" s="290"/>
      <c r="O41" s="294" t="s">
        <v>30</v>
      </c>
    </row>
    <row r="42" spans="1:15" s="95" customFormat="1" ht="69.75">
      <c r="A42" s="284">
        <v>32</v>
      </c>
      <c r="B42" s="318" t="s">
        <v>275</v>
      </c>
      <c r="C42" s="312" t="s">
        <v>219</v>
      </c>
      <c r="D42" s="307">
        <f>47+1</f>
        <v>48</v>
      </c>
      <c r="E42" s="307">
        <f t="shared" si="5"/>
        <v>48</v>
      </c>
      <c r="F42" s="308">
        <v>47</v>
      </c>
      <c r="G42" s="290">
        <f t="shared" si="6"/>
        <v>1</v>
      </c>
      <c r="H42" s="388">
        <f t="shared" si="2"/>
        <v>1</v>
      </c>
      <c r="I42" s="308"/>
      <c r="J42" s="291"/>
      <c r="K42" s="290"/>
      <c r="L42" s="290"/>
      <c r="M42" s="308">
        <v>1</v>
      </c>
      <c r="N42" s="290"/>
      <c r="O42" s="294" t="s">
        <v>30</v>
      </c>
    </row>
    <row r="43" spans="1:15" s="95" customFormat="1" ht="69.75">
      <c r="A43" s="284">
        <v>33</v>
      </c>
      <c r="B43" s="318" t="s">
        <v>276</v>
      </c>
      <c r="C43" s="312" t="s">
        <v>219</v>
      </c>
      <c r="D43" s="307">
        <f>40+1</f>
        <v>41</v>
      </c>
      <c r="E43" s="307">
        <f t="shared" si="5"/>
        <v>41</v>
      </c>
      <c r="F43" s="308">
        <v>40</v>
      </c>
      <c r="G43" s="290">
        <f t="shared" si="6"/>
        <v>1</v>
      </c>
      <c r="H43" s="388">
        <f t="shared" si="2"/>
        <v>1</v>
      </c>
      <c r="I43" s="308"/>
      <c r="J43" s="291"/>
      <c r="K43" s="290"/>
      <c r="L43" s="290"/>
      <c r="M43" s="308">
        <v>1</v>
      </c>
      <c r="N43" s="290"/>
      <c r="O43" s="294" t="s">
        <v>30</v>
      </c>
    </row>
    <row r="44" spans="1:15" s="95" customFormat="1" ht="97.5">
      <c r="A44" s="284">
        <v>34</v>
      </c>
      <c r="B44" s="318" t="s">
        <v>328</v>
      </c>
      <c r="C44" s="312" t="s">
        <v>219</v>
      </c>
      <c r="D44" s="307">
        <f>133+370</f>
        <v>503</v>
      </c>
      <c r="E44" s="307">
        <f t="shared" si="5"/>
        <v>503</v>
      </c>
      <c r="F44" s="308">
        <v>133</v>
      </c>
      <c r="G44" s="290">
        <f t="shared" si="6"/>
        <v>370</v>
      </c>
      <c r="H44" s="388">
        <f t="shared" si="2"/>
        <v>370</v>
      </c>
      <c r="I44" s="308"/>
      <c r="J44" s="291"/>
      <c r="K44" s="290"/>
      <c r="L44" s="290"/>
      <c r="M44" s="308">
        <v>370</v>
      </c>
      <c r="N44" s="290"/>
      <c r="O44" s="294" t="s">
        <v>30</v>
      </c>
    </row>
    <row r="45" spans="1:15" s="95" customFormat="1" ht="97.5">
      <c r="A45" s="284">
        <v>35</v>
      </c>
      <c r="B45" s="318" t="s">
        <v>329</v>
      </c>
      <c r="C45" s="312" t="s">
        <v>219</v>
      </c>
      <c r="D45" s="307">
        <f>251+370</f>
        <v>621</v>
      </c>
      <c r="E45" s="307">
        <f t="shared" si="5"/>
        <v>621</v>
      </c>
      <c r="F45" s="308">
        <v>251</v>
      </c>
      <c r="G45" s="290">
        <f t="shared" si="6"/>
        <v>370</v>
      </c>
      <c r="H45" s="388">
        <f t="shared" si="2"/>
        <v>370</v>
      </c>
      <c r="I45" s="308"/>
      <c r="J45" s="291"/>
      <c r="K45" s="290"/>
      <c r="L45" s="290"/>
      <c r="M45" s="308">
        <v>370</v>
      </c>
      <c r="N45" s="290"/>
      <c r="O45" s="294" t="s">
        <v>30</v>
      </c>
    </row>
    <row r="46" spans="1:15" s="95" customFormat="1" ht="102" customHeight="1">
      <c r="A46" s="284">
        <v>36</v>
      </c>
      <c r="B46" s="318" t="s">
        <v>330</v>
      </c>
      <c r="C46" s="312" t="s">
        <v>219</v>
      </c>
      <c r="D46" s="307">
        <f>22+370</f>
        <v>392</v>
      </c>
      <c r="E46" s="307">
        <f t="shared" si="5"/>
        <v>392</v>
      </c>
      <c r="F46" s="308">
        <v>22</v>
      </c>
      <c r="G46" s="290">
        <f t="shared" si="6"/>
        <v>370</v>
      </c>
      <c r="H46" s="388">
        <f t="shared" si="2"/>
        <v>370</v>
      </c>
      <c r="I46" s="308"/>
      <c r="J46" s="291"/>
      <c r="K46" s="290"/>
      <c r="L46" s="290"/>
      <c r="M46" s="308">
        <v>370</v>
      </c>
      <c r="N46" s="290"/>
      <c r="O46" s="294" t="s">
        <v>30</v>
      </c>
    </row>
    <row r="47" spans="1:15" s="95" customFormat="1" ht="98.25" customHeight="1">
      <c r="A47" s="284">
        <v>37</v>
      </c>
      <c r="B47" s="318" t="s">
        <v>331</v>
      </c>
      <c r="C47" s="312" t="s">
        <v>219</v>
      </c>
      <c r="D47" s="307">
        <f>162+370</f>
        <v>532</v>
      </c>
      <c r="E47" s="307">
        <f t="shared" si="5"/>
        <v>532</v>
      </c>
      <c r="F47" s="308">
        <v>162</v>
      </c>
      <c r="G47" s="290">
        <f t="shared" si="6"/>
        <v>370</v>
      </c>
      <c r="H47" s="388">
        <f t="shared" si="2"/>
        <v>370</v>
      </c>
      <c r="I47" s="308"/>
      <c r="J47" s="291"/>
      <c r="K47" s="290"/>
      <c r="L47" s="290"/>
      <c r="M47" s="308">
        <v>370</v>
      </c>
      <c r="N47" s="290"/>
      <c r="O47" s="294" t="s">
        <v>30</v>
      </c>
    </row>
    <row r="48" spans="1:15" s="95" customFormat="1" ht="97.5">
      <c r="A48" s="284">
        <v>38</v>
      </c>
      <c r="B48" s="318" t="s">
        <v>332</v>
      </c>
      <c r="C48" s="312" t="s">
        <v>219</v>
      </c>
      <c r="D48" s="307">
        <f>96+370</f>
        <v>466</v>
      </c>
      <c r="E48" s="307">
        <f t="shared" si="5"/>
        <v>466</v>
      </c>
      <c r="F48" s="308">
        <v>96</v>
      </c>
      <c r="G48" s="290">
        <f t="shared" si="6"/>
        <v>370</v>
      </c>
      <c r="H48" s="388">
        <f t="shared" si="2"/>
        <v>370</v>
      </c>
      <c r="I48" s="308"/>
      <c r="J48" s="291"/>
      <c r="K48" s="290"/>
      <c r="L48" s="290"/>
      <c r="M48" s="308">
        <v>370</v>
      </c>
      <c r="N48" s="290"/>
      <c r="O48" s="294" t="s">
        <v>30</v>
      </c>
    </row>
    <row r="49" spans="1:15" s="95" customFormat="1" ht="97.5">
      <c r="A49" s="284">
        <v>39</v>
      </c>
      <c r="B49" s="318" t="s">
        <v>333</v>
      </c>
      <c r="C49" s="312" t="s">
        <v>219</v>
      </c>
      <c r="D49" s="307">
        <v>370</v>
      </c>
      <c r="E49" s="307">
        <f t="shared" si="5"/>
        <v>370</v>
      </c>
      <c r="F49" s="308">
        <v>0</v>
      </c>
      <c r="G49" s="290">
        <f t="shared" si="6"/>
        <v>370</v>
      </c>
      <c r="H49" s="388">
        <f t="shared" si="2"/>
        <v>370</v>
      </c>
      <c r="I49" s="308"/>
      <c r="J49" s="291"/>
      <c r="K49" s="290"/>
      <c r="L49" s="290"/>
      <c r="M49" s="308">
        <v>370</v>
      </c>
      <c r="N49" s="290"/>
      <c r="O49" s="294" t="s">
        <v>30</v>
      </c>
    </row>
    <row r="50" spans="1:15" s="95" customFormat="1" ht="109.5" customHeight="1">
      <c r="A50" s="284">
        <v>40</v>
      </c>
      <c r="B50" s="318" t="s">
        <v>351</v>
      </c>
      <c r="C50" s="312" t="s">
        <v>219</v>
      </c>
      <c r="D50" s="307">
        <v>370</v>
      </c>
      <c r="E50" s="307">
        <f t="shared" si="5"/>
        <v>370</v>
      </c>
      <c r="F50" s="308">
        <v>0</v>
      </c>
      <c r="G50" s="290">
        <f t="shared" si="6"/>
        <v>370</v>
      </c>
      <c r="H50" s="388">
        <f t="shared" si="2"/>
        <v>370</v>
      </c>
      <c r="I50" s="308"/>
      <c r="J50" s="291"/>
      <c r="K50" s="290"/>
      <c r="L50" s="290"/>
      <c r="M50" s="308">
        <v>370</v>
      </c>
      <c r="N50" s="290"/>
      <c r="O50" s="294" t="s">
        <v>30</v>
      </c>
    </row>
    <row r="51" spans="1:15" s="95" customFormat="1" ht="97.5">
      <c r="A51" s="284">
        <v>41</v>
      </c>
      <c r="B51" s="318" t="s">
        <v>334</v>
      </c>
      <c r="C51" s="312" t="s">
        <v>219</v>
      </c>
      <c r="D51" s="307">
        <v>370</v>
      </c>
      <c r="E51" s="307">
        <f t="shared" si="5"/>
        <v>370</v>
      </c>
      <c r="F51" s="308">
        <v>0</v>
      </c>
      <c r="G51" s="290">
        <f t="shared" si="6"/>
        <v>370</v>
      </c>
      <c r="H51" s="388">
        <f t="shared" si="2"/>
        <v>370</v>
      </c>
      <c r="I51" s="308"/>
      <c r="J51" s="291"/>
      <c r="K51" s="290"/>
      <c r="L51" s="290"/>
      <c r="M51" s="308">
        <v>370</v>
      </c>
      <c r="N51" s="290"/>
      <c r="O51" s="294" t="s">
        <v>30</v>
      </c>
    </row>
    <row r="52" spans="1:15" s="95" customFormat="1" ht="97.5">
      <c r="A52" s="284">
        <v>42</v>
      </c>
      <c r="B52" s="318" t="s">
        <v>335</v>
      </c>
      <c r="C52" s="312" t="s">
        <v>219</v>
      </c>
      <c r="D52" s="307">
        <f>96+370</f>
        <v>466</v>
      </c>
      <c r="E52" s="307">
        <f t="shared" si="5"/>
        <v>466</v>
      </c>
      <c r="F52" s="308">
        <v>96</v>
      </c>
      <c r="G52" s="290">
        <f t="shared" si="6"/>
        <v>370</v>
      </c>
      <c r="H52" s="388">
        <f t="shared" si="2"/>
        <v>370</v>
      </c>
      <c r="I52" s="308"/>
      <c r="J52" s="291"/>
      <c r="K52" s="290"/>
      <c r="L52" s="290"/>
      <c r="M52" s="308">
        <v>370</v>
      </c>
      <c r="N52" s="290"/>
      <c r="O52" s="294" t="s">
        <v>30</v>
      </c>
    </row>
    <row r="53" spans="1:15" s="95" customFormat="1" ht="97.5">
      <c r="A53" s="284">
        <v>43</v>
      </c>
      <c r="B53" s="318" t="s">
        <v>336</v>
      </c>
      <c r="C53" s="312" t="s">
        <v>219</v>
      </c>
      <c r="D53" s="307">
        <f>44+370</f>
        <v>414</v>
      </c>
      <c r="E53" s="307">
        <f>D53</f>
        <v>414</v>
      </c>
      <c r="F53" s="308">
        <v>44</v>
      </c>
      <c r="G53" s="290">
        <f>D53-F53</f>
        <v>370</v>
      </c>
      <c r="H53" s="388">
        <f t="shared" si="2"/>
        <v>370</v>
      </c>
      <c r="I53" s="308"/>
      <c r="J53" s="291"/>
      <c r="K53" s="290"/>
      <c r="L53" s="290"/>
      <c r="M53" s="308">
        <v>370</v>
      </c>
      <c r="N53" s="290"/>
      <c r="O53" s="294" t="s">
        <v>30</v>
      </c>
    </row>
    <row r="54" spans="1:15" s="95" customFormat="1" ht="84">
      <c r="A54" s="284">
        <v>44</v>
      </c>
      <c r="B54" s="318" t="s">
        <v>352</v>
      </c>
      <c r="C54" s="312" t="s">
        <v>219</v>
      </c>
      <c r="D54" s="307">
        <f>300+88</f>
        <v>388</v>
      </c>
      <c r="E54" s="307">
        <f>D54</f>
        <v>388</v>
      </c>
      <c r="F54" s="308">
        <v>88</v>
      </c>
      <c r="G54" s="290">
        <f>D54-F54</f>
        <v>300</v>
      </c>
      <c r="H54" s="388">
        <f t="shared" si="2"/>
        <v>300</v>
      </c>
      <c r="I54" s="308">
        <v>300</v>
      </c>
      <c r="J54" s="291"/>
      <c r="K54" s="290"/>
      <c r="L54" s="290"/>
      <c r="M54" s="308">
        <v>0</v>
      </c>
      <c r="N54" s="290"/>
      <c r="O54" s="294" t="s">
        <v>30</v>
      </c>
    </row>
    <row r="55" spans="1:15" s="95" customFormat="1" ht="84">
      <c r="A55" s="284">
        <v>45</v>
      </c>
      <c r="B55" s="318" t="s">
        <v>353</v>
      </c>
      <c r="C55" s="312" t="s">
        <v>219</v>
      </c>
      <c r="D55" s="307">
        <f>300+100</f>
        <v>400</v>
      </c>
      <c r="E55" s="307">
        <f>D55</f>
        <v>400</v>
      </c>
      <c r="F55" s="308">
        <v>100</v>
      </c>
      <c r="G55" s="290">
        <f>D55-F55</f>
        <v>300</v>
      </c>
      <c r="H55" s="388">
        <f t="shared" si="2"/>
        <v>300</v>
      </c>
      <c r="I55" s="308">
        <v>300</v>
      </c>
      <c r="J55" s="291"/>
      <c r="K55" s="290"/>
      <c r="L55" s="290"/>
      <c r="M55" s="308">
        <v>0</v>
      </c>
      <c r="N55" s="290"/>
      <c r="O55" s="294" t="s">
        <v>30</v>
      </c>
    </row>
    <row r="56" spans="1:15" s="95" customFormat="1" ht="119.25" customHeight="1">
      <c r="A56" s="284">
        <v>46</v>
      </c>
      <c r="B56" s="318" t="s">
        <v>359</v>
      </c>
      <c r="C56" s="312" t="s">
        <v>219</v>
      </c>
      <c r="D56" s="307">
        <v>370</v>
      </c>
      <c r="E56" s="307">
        <f>D56</f>
        <v>370</v>
      </c>
      <c r="F56" s="308">
        <v>0</v>
      </c>
      <c r="G56" s="290">
        <f>D56-F56</f>
        <v>370</v>
      </c>
      <c r="H56" s="388">
        <f t="shared" si="2"/>
        <v>370</v>
      </c>
      <c r="I56" s="308"/>
      <c r="J56" s="291"/>
      <c r="K56" s="290"/>
      <c r="L56" s="290"/>
      <c r="M56" s="308">
        <v>370</v>
      </c>
      <c r="N56" s="290"/>
      <c r="O56" s="294" t="s">
        <v>30</v>
      </c>
    </row>
    <row r="57" spans="1:15" s="95" customFormat="1" ht="44.25" customHeight="1">
      <c r="A57" s="191"/>
      <c r="B57" s="13"/>
      <c r="C57" s="211" t="s">
        <v>18</v>
      </c>
      <c r="D57" s="193">
        <f aca="true" t="shared" si="7" ref="D57:N57">SUM(D11:D56)</f>
        <v>21653</v>
      </c>
      <c r="E57" s="193">
        <f t="shared" si="7"/>
        <v>21653</v>
      </c>
      <c r="F57" s="193">
        <f t="shared" si="7"/>
        <v>6288</v>
      </c>
      <c r="G57" s="193">
        <f t="shared" si="7"/>
        <v>15365</v>
      </c>
      <c r="H57" s="389">
        <f t="shared" si="7"/>
        <v>15365</v>
      </c>
      <c r="I57" s="193">
        <f t="shared" si="7"/>
        <v>1270</v>
      </c>
      <c r="J57" s="193">
        <f t="shared" si="7"/>
        <v>0</v>
      </c>
      <c r="K57" s="193">
        <f t="shared" si="7"/>
        <v>550</v>
      </c>
      <c r="L57" s="193">
        <f t="shared" si="7"/>
        <v>0</v>
      </c>
      <c r="M57" s="193">
        <f t="shared" si="7"/>
        <v>13545</v>
      </c>
      <c r="N57" s="193">
        <f t="shared" si="7"/>
        <v>0</v>
      </c>
      <c r="O57" s="94"/>
    </row>
    <row r="58" spans="1:15" s="95" customFormat="1" ht="15" customHeight="1">
      <c r="A58" s="191"/>
      <c r="B58" s="13"/>
      <c r="C58" s="192"/>
      <c r="D58" s="14"/>
      <c r="E58" s="14"/>
      <c r="F58" s="14"/>
      <c r="G58" s="14"/>
      <c r="H58" s="14"/>
      <c r="I58" s="14"/>
      <c r="J58" s="14"/>
      <c r="K58" s="14"/>
      <c r="L58" s="14"/>
      <c r="M58" s="14"/>
      <c r="N58" s="14"/>
      <c r="O58" s="94"/>
    </row>
    <row r="59" spans="1:15" s="95" customFormat="1" ht="57" customHeight="1" hidden="1">
      <c r="A59" s="191"/>
      <c r="B59" s="13"/>
      <c r="C59" s="192"/>
      <c r="D59" s="14"/>
      <c r="E59" s="14"/>
      <c r="F59" s="14"/>
      <c r="G59" s="14"/>
      <c r="H59" s="14"/>
      <c r="I59" s="14"/>
      <c r="J59" s="14"/>
      <c r="K59" s="14"/>
      <c r="L59" s="14"/>
      <c r="M59" s="14"/>
      <c r="N59" s="14"/>
      <c r="O59" s="94"/>
    </row>
    <row r="60" spans="1:15" s="95" customFormat="1" ht="28.5" customHeight="1" hidden="1" thickBot="1">
      <c r="A60" s="115" t="s">
        <v>112</v>
      </c>
      <c r="B60" s="116"/>
      <c r="C60" s="115"/>
      <c r="D60" s="119"/>
      <c r="E60" s="119"/>
      <c r="F60" s="119"/>
      <c r="G60" s="119"/>
      <c r="H60" s="119"/>
      <c r="I60" s="119"/>
      <c r="J60" s="119"/>
      <c r="K60" s="119"/>
      <c r="L60" s="119"/>
      <c r="M60" s="119"/>
      <c r="N60" s="93" t="s">
        <v>16</v>
      </c>
      <c r="O60" s="119"/>
    </row>
    <row r="61" spans="1:14" s="95" customFormat="1" ht="48.75" customHeight="1" hidden="1" thickBot="1">
      <c r="A61" s="224" t="s">
        <v>17</v>
      </c>
      <c r="B61" s="225" t="s">
        <v>19</v>
      </c>
      <c r="C61" s="226" t="s">
        <v>47</v>
      </c>
      <c r="D61" s="225" t="s">
        <v>185</v>
      </c>
      <c r="E61" s="227" t="s">
        <v>44</v>
      </c>
      <c r="F61" s="228" t="s">
        <v>395</v>
      </c>
      <c r="G61" s="228" t="s">
        <v>93</v>
      </c>
      <c r="H61" s="228" t="s">
        <v>396</v>
      </c>
      <c r="I61" s="108" t="s">
        <v>388</v>
      </c>
      <c r="J61" s="109" t="s">
        <v>45</v>
      </c>
      <c r="K61" s="229" t="s">
        <v>392</v>
      </c>
      <c r="L61" s="228" t="s">
        <v>173</v>
      </c>
      <c r="M61" s="228" t="s">
        <v>21</v>
      </c>
      <c r="N61" s="230" t="s">
        <v>31</v>
      </c>
    </row>
    <row r="62" spans="1:15" s="95" customFormat="1" ht="21" customHeight="1" hidden="1">
      <c r="A62" s="110">
        <v>1</v>
      </c>
      <c r="B62" s="164"/>
      <c r="C62" s="127"/>
      <c r="D62" s="205"/>
      <c r="E62" s="205"/>
      <c r="F62" s="206"/>
      <c r="G62" s="207"/>
      <c r="H62" s="208"/>
      <c r="I62" s="208"/>
      <c r="J62" s="208"/>
      <c r="K62" s="207"/>
      <c r="L62" s="207"/>
      <c r="M62" s="206"/>
      <c r="N62" s="207"/>
      <c r="O62" s="96" t="s">
        <v>30</v>
      </c>
    </row>
    <row r="63" spans="1:14" s="95" customFormat="1" ht="24.75" customHeight="1" hidden="1">
      <c r="A63" s="115"/>
      <c r="B63" s="116"/>
      <c r="C63" s="115" t="s">
        <v>18</v>
      </c>
      <c r="D63" s="117">
        <f aca="true" t="shared" si="8" ref="D63:N63">SUM(D62:D62)</f>
        <v>0</v>
      </c>
      <c r="E63" s="117">
        <f t="shared" si="8"/>
        <v>0</v>
      </c>
      <c r="F63" s="117">
        <f t="shared" si="8"/>
        <v>0</v>
      </c>
      <c r="G63" s="117">
        <f t="shared" si="8"/>
        <v>0</v>
      </c>
      <c r="H63" s="117">
        <f t="shared" si="8"/>
        <v>0</v>
      </c>
      <c r="I63" s="117">
        <f t="shared" si="8"/>
        <v>0</v>
      </c>
      <c r="J63" s="117">
        <f t="shared" si="8"/>
        <v>0</v>
      </c>
      <c r="K63" s="117">
        <f t="shared" si="8"/>
        <v>0</v>
      </c>
      <c r="L63" s="117">
        <f t="shared" si="8"/>
        <v>0</v>
      </c>
      <c r="M63" s="117">
        <f t="shared" si="8"/>
        <v>0</v>
      </c>
      <c r="N63" s="117">
        <f t="shared" si="8"/>
        <v>0</v>
      </c>
    </row>
    <row r="64" spans="1:14" s="95" customFormat="1" ht="24.75" customHeight="1" hidden="1">
      <c r="A64" s="115"/>
      <c r="B64" s="116"/>
      <c r="C64" s="115"/>
      <c r="D64" s="119"/>
      <c r="E64" s="119"/>
      <c r="F64" s="119"/>
      <c r="G64" s="119"/>
      <c r="H64" s="119"/>
      <c r="I64" s="119"/>
      <c r="J64" s="119"/>
      <c r="K64" s="119"/>
      <c r="L64" s="119"/>
      <c r="M64" s="119"/>
      <c r="N64" s="119"/>
    </row>
    <row r="65" spans="1:14" s="95" customFormat="1" ht="9.75" customHeight="1">
      <c r="A65" s="115"/>
      <c r="B65" s="116"/>
      <c r="C65" s="115"/>
      <c r="D65" s="119"/>
      <c r="E65" s="119"/>
      <c r="F65" s="119"/>
      <c r="G65" s="119"/>
      <c r="H65" s="119"/>
      <c r="I65" s="119"/>
      <c r="J65" s="119"/>
      <c r="K65" s="119"/>
      <c r="L65" s="119"/>
      <c r="M65" s="119"/>
      <c r="N65" s="119"/>
    </row>
    <row r="66" spans="1:15" s="94" customFormat="1" ht="36" customHeight="1" thickBot="1">
      <c r="A66" s="90" t="s">
        <v>88</v>
      </c>
      <c r="B66" s="13"/>
      <c r="C66" s="91"/>
      <c r="D66" s="92"/>
      <c r="E66" s="92"/>
      <c r="F66" s="13"/>
      <c r="G66" s="13"/>
      <c r="H66" s="13"/>
      <c r="I66" s="13"/>
      <c r="J66" s="13"/>
      <c r="K66" s="13"/>
      <c r="L66" s="89"/>
      <c r="M66" s="13"/>
      <c r="N66" s="93" t="s">
        <v>16</v>
      </c>
      <c r="O66" s="86"/>
    </row>
    <row r="67" spans="1:15" s="94" customFormat="1" ht="60" customHeight="1" thickBot="1">
      <c r="A67" s="224" t="s">
        <v>17</v>
      </c>
      <c r="B67" s="225" t="s">
        <v>19</v>
      </c>
      <c r="C67" s="226" t="s">
        <v>47</v>
      </c>
      <c r="D67" s="225" t="s">
        <v>185</v>
      </c>
      <c r="E67" s="227" t="s">
        <v>44</v>
      </c>
      <c r="F67" s="228" t="s">
        <v>395</v>
      </c>
      <c r="G67" s="228" t="s">
        <v>93</v>
      </c>
      <c r="H67" s="387" t="s">
        <v>396</v>
      </c>
      <c r="I67" s="108" t="s">
        <v>388</v>
      </c>
      <c r="J67" s="109" t="s">
        <v>45</v>
      </c>
      <c r="K67" s="229" t="s">
        <v>392</v>
      </c>
      <c r="L67" s="228" t="s">
        <v>173</v>
      </c>
      <c r="M67" s="228" t="s">
        <v>21</v>
      </c>
      <c r="N67" s="230" t="s">
        <v>31</v>
      </c>
      <c r="O67" s="86"/>
    </row>
    <row r="68" spans="1:15" s="95" customFormat="1" ht="111" customHeight="1">
      <c r="A68" s="347">
        <v>1</v>
      </c>
      <c r="B68" s="306" t="s">
        <v>402</v>
      </c>
      <c r="C68" s="286" t="s">
        <v>219</v>
      </c>
      <c r="D68" s="307">
        <v>3</v>
      </c>
      <c r="E68" s="307">
        <f aca="true" t="shared" si="9" ref="E68:E73">D68</f>
        <v>3</v>
      </c>
      <c r="F68" s="308">
        <v>0</v>
      </c>
      <c r="G68" s="290">
        <f aca="true" t="shared" si="10" ref="G68:G78">D68-F68</f>
        <v>3</v>
      </c>
      <c r="H68" s="388">
        <f aca="true" t="shared" si="11" ref="H68:H73">SUM(K68:N68)</f>
        <v>3</v>
      </c>
      <c r="I68" s="291"/>
      <c r="J68" s="291"/>
      <c r="K68" s="290">
        <v>3</v>
      </c>
      <c r="L68" s="290"/>
      <c r="M68" s="308"/>
      <c r="N68" s="290"/>
      <c r="O68" s="294" t="s">
        <v>30</v>
      </c>
    </row>
    <row r="69" spans="1:15" s="95" customFormat="1" ht="111" customHeight="1">
      <c r="A69" s="347">
        <v>2</v>
      </c>
      <c r="B69" s="306" t="s">
        <v>401</v>
      </c>
      <c r="C69" s="286" t="s">
        <v>219</v>
      </c>
      <c r="D69" s="307">
        <v>3</v>
      </c>
      <c r="E69" s="307">
        <f t="shared" si="9"/>
        <v>3</v>
      </c>
      <c r="F69" s="308">
        <v>0</v>
      </c>
      <c r="G69" s="290">
        <f t="shared" si="10"/>
        <v>3</v>
      </c>
      <c r="H69" s="388">
        <f t="shared" si="11"/>
        <v>3</v>
      </c>
      <c r="I69" s="291"/>
      <c r="J69" s="291"/>
      <c r="K69" s="290">
        <v>3</v>
      </c>
      <c r="L69" s="290"/>
      <c r="M69" s="308"/>
      <c r="N69" s="290"/>
      <c r="O69" s="294" t="s">
        <v>30</v>
      </c>
    </row>
    <row r="70" spans="1:15" s="95" customFormat="1" ht="55.5">
      <c r="A70" s="347">
        <v>3</v>
      </c>
      <c r="B70" s="306" t="s">
        <v>563</v>
      </c>
      <c r="C70" s="286" t="s">
        <v>219</v>
      </c>
      <c r="D70" s="307">
        <v>4</v>
      </c>
      <c r="E70" s="307">
        <f t="shared" si="9"/>
        <v>4</v>
      </c>
      <c r="F70" s="308">
        <v>0</v>
      </c>
      <c r="G70" s="290">
        <f t="shared" si="10"/>
        <v>4</v>
      </c>
      <c r="H70" s="388">
        <f t="shared" si="11"/>
        <v>4</v>
      </c>
      <c r="I70" s="291"/>
      <c r="J70" s="291"/>
      <c r="K70" s="290">
        <v>4</v>
      </c>
      <c r="L70" s="290"/>
      <c r="M70" s="308"/>
      <c r="N70" s="290"/>
      <c r="O70" s="294" t="s">
        <v>30</v>
      </c>
    </row>
    <row r="71" spans="1:15" s="95" customFormat="1" ht="97.5">
      <c r="A71" s="347">
        <v>4</v>
      </c>
      <c r="B71" s="306" t="s">
        <v>222</v>
      </c>
      <c r="C71" s="286" t="s">
        <v>219</v>
      </c>
      <c r="D71" s="307">
        <v>3</v>
      </c>
      <c r="E71" s="307">
        <f t="shared" si="9"/>
        <v>3</v>
      </c>
      <c r="F71" s="308">
        <v>0</v>
      </c>
      <c r="G71" s="290">
        <f t="shared" si="10"/>
        <v>3</v>
      </c>
      <c r="H71" s="388">
        <f t="shared" si="11"/>
        <v>3</v>
      </c>
      <c r="I71" s="291"/>
      <c r="J71" s="291"/>
      <c r="K71" s="290">
        <v>3</v>
      </c>
      <c r="L71" s="290"/>
      <c r="M71" s="308"/>
      <c r="N71" s="290"/>
      <c r="O71" s="294" t="s">
        <v>30</v>
      </c>
    </row>
    <row r="72" spans="1:15" s="95" customFormat="1" ht="97.5">
      <c r="A72" s="347">
        <v>5</v>
      </c>
      <c r="B72" s="306" t="s">
        <v>225</v>
      </c>
      <c r="C72" s="286" t="s">
        <v>219</v>
      </c>
      <c r="D72" s="307">
        <v>3</v>
      </c>
      <c r="E72" s="307">
        <f t="shared" si="9"/>
        <v>3</v>
      </c>
      <c r="F72" s="308">
        <v>0</v>
      </c>
      <c r="G72" s="290">
        <f t="shared" si="10"/>
        <v>3</v>
      </c>
      <c r="H72" s="388">
        <f t="shared" si="11"/>
        <v>3</v>
      </c>
      <c r="I72" s="291"/>
      <c r="J72" s="291"/>
      <c r="K72" s="290">
        <v>3</v>
      </c>
      <c r="L72" s="290"/>
      <c r="M72" s="308" t="s">
        <v>20</v>
      </c>
      <c r="N72" s="290"/>
      <c r="O72" s="294" t="s">
        <v>30</v>
      </c>
    </row>
    <row r="73" spans="1:15" s="95" customFormat="1" ht="97.5">
      <c r="A73" s="347">
        <v>6</v>
      </c>
      <c r="B73" s="306" t="s">
        <v>226</v>
      </c>
      <c r="C73" s="286" t="s">
        <v>219</v>
      </c>
      <c r="D73" s="307">
        <v>2</v>
      </c>
      <c r="E73" s="307">
        <f t="shared" si="9"/>
        <v>2</v>
      </c>
      <c r="F73" s="308">
        <v>0</v>
      </c>
      <c r="G73" s="290">
        <f t="shared" si="10"/>
        <v>2</v>
      </c>
      <c r="H73" s="388">
        <f t="shared" si="11"/>
        <v>2</v>
      </c>
      <c r="I73" s="291"/>
      <c r="J73" s="291"/>
      <c r="K73" s="290">
        <v>2</v>
      </c>
      <c r="L73" s="290"/>
      <c r="M73" s="308"/>
      <c r="N73" s="290"/>
      <c r="O73" s="294" t="s">
        <v>30</v>
      </c>
    </row>
    <row r="74" spans="1:15" s="95" customFormat="1" ht="97.5">
      <c r="A74" s="347">
        <v>7</v>
      </c>
      <c r="B74" s="348" t="s">
        <v>407</v>
      </c>
      <c r="C74" s="286" t="s">
        <v>219</v>
      </c>
      <c r="D74" s="307">
        <v>2</v>
      </c>
      <c r="E74" s="307">
        <f aca="true" t="shared" si="12" ref="E74:E93">D74</f>
        <v>2</v>
      </c>
      <c r="F74" s="308">
        <v>0</v>
      </c>
      <c r="G74" s="290">
        <f t="shared" si="10"/>
        <v>2</v>
      </c>
      <c r="H74" s="388">
        <f>SUM(K74:N74)</f>
        <v>2</v>
      </c>
      <c r="I74" s="291"/>
      <c r="J74" s="291"/>
      <c r="K74" s="290">
        <v>2</v>
      </c>
      <c r="L74" s="290"/>
      <c r="M74" s="308">
        <v>0</v>
      </c>
      <c r="N74" s="290"/>
      <c r="O74" s="294" t="s">
        <v>30</v>
      </c>
    </row>
    <row r="75" spans="1:15" s="95" customFormat="1" ht="97.5">
      <c r="A75" s="347">
        <v>8</v>
      </c>
      <c r="B75" s="348" t="s">
        <v>408</v>
      </c>
      <c r="C75" s="286" t="s">
        <v>219</v>
      </c>
      <c r="D75" s="307">
        <v>2</v>
      </c>
      <c r="E75" s="307">
        <f>D75</f>
        <v>2</v>
      </c>
      <c r="F75" s="308">
        <v>0</v>
      </c>
      <c r="G75" s="290">
        <f t="shared" si="10"/>
        <v>2</v>
      </c>
      <c r="H75" s="388">
        <f>SUM(K75:N75)</f>
        <v>2</v>
      </c>
      <c r="I75" s="291"/>
      <c r="J75" s="291"/>
      <c r="K75" s="290">
        <v>2</v>
      </c>
      <c r="L75" s="290"/>
      <c r="M75" s="308">
        <v>0</v>
      </c>
      <c r="N75" s="290"/>
      <c r="O75" s="294" t="s">
        <v>30</v>
      </c>
    </row>
    <row r="76" spans="1:15" s="95" customFormat="1" ht="97.5" customHeight="1">
      <c r="A76" s="347">
        <v>9</v>
      </c>
      <c r="B76" s="348" t="s">
        <v>116</v>
      </c>
      <c r="C76" s="286" t="s">
        <v>219</v>
      </c>
      <c r="D76" s="307">
        <f>51+200</f>
        <v>251</v>
      </c>
      <c r="E76" s="307">
        <f>D76</f>
        <v>251</v>
      </c>
      <c r="F76" s="308">
        <v>51</v>
      </c>
      <c r="G76" s="290">
        <f t="shared" si="10"/>
        <v>200</v>
      </c>
      <c r="H76" s="388">
        <f>SUM(K76:N76)</f>
        <v>200</v>
      </c>
      <c r="I76" s="291"/>
      <c r="J76" s="291"/>
      <c r="K76" s="290">
        <v>0</v>
      </c>
      <c r="L76" s="290"/>
      <c r="M76" s="308">
        <v>200</v>
      </c>
      <c r="N76" s="290"/>
      <c r="O76" s="294" t="s">
        <v>30</v>
      </c>
    </row>
    <row r="77" spans="1:15" s="95" customFormat="1" ht="111.75">
      <c r="A77" s="347">
        <v>10</v>
      </c>
      <c r="B77" s="353" t="s">
        <v>457</v>
      </c>
      <c r="C77" s="286" t="s">
        <v>219</v>
      </c>
      <c r="D77" s="307">
        <f>78+300</f>
        <v>378</v>
      </c>
      <c r="E77" s="307">
        <f>D77</f>
        <v>378</v>
      </c>
      <c r="F77" s="308">
        <v>78</v>
      </c>
      <c r="G77" s="290">
        <f>D77-F77</f>
        <v>300</v>
      </c>
      <c r="H77" s="388">
        <f>SUM(K77:N77)</f>
        <v>300</v>
      </c>
      <c r="I77" s="291"/>
      <c r="J77" s="291"/>
      <c r="K77" s="290">
        <v>0</v>
      </c>
      <c r="L77" s="290"/>
      <c r="M77" s="308">
        <v>300</v>
      </c>
      <c r="N77" s="290"/>
      <c r="O77" s="294" t="s">
        <v>30</v>
      </c>
    </row>
    <row r="78" spans="1:15" s="95" customFormat="1" ht="111.75">
      <c r="A78" s="347">
        <v>11</v>
      </c>
      <c r="B78" s="353" t="s">
        <v>458</v>
      </c>
      <c r="C78" s="286" t="s">
        <v>219</v>
      </c>
      <c r="D78" s="307">
        <f>79+350</f>
        <v>429</v>
      </c>
      <c r="E78" s="307">
        <f>D78</f>
        <v>429</v>
      </c>
      <c r="F78" s="308">
        <v>79</v>
      </c>
      <c r="G78" s="290">
        <f t="shared" si="10"/>
        <v>350</v>
      </c>
      <c r="H78" s="388">
        <f>SUM(K78:N78)</f>
        <v>350</v>
      </c>
      <c r="I78" s="291"/>
      <c r="J78" s="291"/>
      <c r="K78" s="290">
        <v>0</v>
      </c>
      <c r="L78" s="290"/>
      <c r="M78" s="308">
        <v>350</v>
      </c>
      <c r="N78" s="290"/>
      <c r="O78" s="294" t="s">
        <v>30</v>
      </c>
    </row>
    <row r="79" spans="1:15" s="95" customFormat="1" ht="86.25" customHeight="1">
      <c r="A79" s="347">
        <v>12</v>
      </c>
      <c r="B79" s="318" t="s">
        <v>240</v>
      </c>
      <c r="C79" s="286" t="s">
        <v>219</v>
      </c>
      <c r="D79" s="319">
        <f>1080+61</f>
        <v>1141</v>
      </c>
      <c r="E79" s="307">
        <f t="shared" si="12"/>
        <v>1141</v>
      </c>
      <c r="F79" s="293">
        <v>61</v>
      </c>
      <c r="G79" s="289">
        <f aca="true" t="shared" si="13" ref="G79:G93">D79-F79</f>
        <v>1080</v>
      </c>
      <c r="H79" s="389">
        <f>SUM(I79:N79)</f>
        <v>1080</v>
      </c>
      <c r="I79" s="293">
        <v>1080</v>
      </c>
      <c r="J79" s="292"/>
      <c r="K79" s="289"/>
      <c r="L79" s="289"/>
      <c r="M79" s="293">
        <v>0</v>
      </c>
      <c r="N79" s="289"/>
      <c r="O79" s="294" t="s">
        <v>30</v>
      </c>
    </row>
    <row r="80" spans="1:15" s="95" customFormat="1" ht="89.25" customHeight="1">
      <c r="A80" s="347">
        <v>13</v>
      </c>
      <c r="B80" s="306" t="s">
        <v>337</v>
      </c>
      <c r="C80" s="286" t="s">
        <v>219</v>
      </c>
      <c r="D80" s="307">
        <f>150+61</f>
        <v>211</v>
      </c>
      <c r="E80" s="307">
        <f>D80</f>
        <v>211</v>
      </c>
      <c r="F80" s="308">
        <f>28+33</f>
        <v>61</v>
      </c>
      <c r="G80" s="290">
        <f t="shared" si="13"/>
        <v>150</v>
      </c>
      <c r="H80" s="388">
        <f>SUM(I80:N80)</f>
        <v>150</v>
      </c>
      <c r="I80" s="308">
        <v>150</v>
      </c>
      <c r="J80" s="291"/>
      <c r="K80" s="290"/>
      <c r="L80" s="290"/>
      <c r="M80" s="308">
        <v>0</v>
      </c>
      <c r="N80" s="290"/>
      <c r="O80" s="294" t="s">
        <v>30</v>
      </c>
    </row>
    <row r="81" spans="1:15" s="95" customFormat="1" ht="145.5" customHeight="1">
      <c r="A81" s="347">
        <v>14</v>
      </c>
      <c r="B81" s="348" t="s">
        <v>246</v>
      </c>
      <c r="C81" s="286" t="s">
        <v>219</v>
      </c>
      <c r="D81" s="307">
        <v>350</v>
      </c>
      <c r="E81" s="307">
        <f t="shared" si="12"/>
        <v>350</v>
      </c>
      <c r="F81" s="308">
        <v>0</v>
      </c>
      <c r="G81" s="290">
        <f>D81-F81</f>
        <v>350</v>
      </c>
      <c r="H81" s="388">
        <f>SUM(K81:N81)</f>
        <v>350</v>
      </c>
      <c r="I81" s="291"/>
      <c r="J81" s="291"/>
      <c r="K81" s="290"/>
      <c r="L81" s="290"/>
      <c r="M81" s="308">
        <v>350</v>
      </c>
      <c r="N81" s="290"/>
      <c r="O81" s="294" t="s">
        <v>30</v>
      </c>
    </row>
    <row r="82" spans="1:15" s="95" customFormat="1" ht="133.5" customHeight="1">
      <c r="A82" s="347">
        <v>15</v>
      </c>
      <c r="B82" s="348" t="s">
        <v>160</v>
      </c>
      <c r="C82" s="286" t="s">
        <v>219</v>
      </c>
      <c r="D82" s="307">
        <f>430+88</f>
        <v>518</v>
      </c>
      <c r="E82" s="307">
        <f t="shared" si="12"/>
        <v>518</v>
      </c>
      <c r="F82" s="308">
        <v>88</v>
      </c>
      <c r="G82" s="290">
        <f t="shared" si="13"/>
        <v>430</v>
      </c>
      <c r="H82" s="388">
        <f>SUM(I82:N82)</f>
        <v>430</v>
      </c>
      <c r="I82" s="308">
        <v>430</v>
      </c>
      <c r="J82" s="291"/>
      <c r="K82" s="290"/>
      <c r="L82" s="290"/>
      <c r="M82" s="308"/>
      <c r="N82" s="290"/>
      <c r="O82" s="294" t="s">
        <v>30</v>
      </c>
    </row>
    <row r="83" spans="1:15" s="95" customFormat="1" ht="126.75" customHeight="1">
      <c r="A83" s="347">
        <v>16</v>
      </c>
      <c r="B83" s="348" t="s">
        <v>165</v>
      </c>
      <c r="C83" s="286" t="s">
        <v>219</v>
      </c>
      <c r="D83" s="307">
        <f>17+170</f>
        <v>187</v>
      </c>
      <c r="E83" s="307">
        <f t="shared" si="12"/>
        <v>187</v>
      </c>
      <c r="F83" s="308">
        <v>17</v>
      </c>
      <c r="G83" s="290">
        <f t="shared" si="13"/>
        <v>170</v>
      </c>
      <c r="H83" s="388">
        <f>SUM(K83:N83)</f>
        <v>170</v>
      </c>
      <c r="I83" s="291"/>
      <c r="J83" s="291"/>
      <c r="K83" s="290"/>
      <c r="L83" s="290"/>
      <c r="M83" s="308">
        <v>170</v>
      </c>
      <c r="N83" s="290"/>
      <c r="O83" s="294" t="s">
        <v>30</v>
      </c>
    </row>
    <row r="84" spans="1:15" s="95" customFormat="1" ht="126.75" customHeight="1">
      <c r="A84" s="347">
        <v>17</v>
      </c>
      <c r="B84" s="348" t="s">
        <v>166</v>
      </c>
      <c r="C84" s="286" t="s">
        <v>219</v>
      </c>
      <c r="D84" s="307">
        <f>19+185</f>
        <v>204</v>
      </c>
      <c r="E84" s="307">
        <f t="shared" si="12"/>
        <v>204</v>
      </c>
      <c r="F84" s="308">
        <v>19</v>
      </c>
      <c r="G84" s="290">
        <f t="shared" si="13"/>
        <v>185</v>
      </c>
      <c r="H84" s="388">
        <f>SUM(K84:N84)</f>
        <v>185</v>
      </c>
      <c r="I84" s="291"/>
      <c r="J84" s="291"/>
      <c r="K84" s="290"/>
      <c r="L84" s="290"/>
      <c r="M84" s="308">
        <v>185</v>
      </c>
      <c r="N84" s="290"/>
      <c r="O84" s="294" t="s">
        <v>30</v>
      </c>
    </row>
    <row r="85" spans="1:15" s="95" customFormat="1" ht="125.25" customHeight="1">
      <c r="A85" s="347">
        <v>18</v>
      </c>
      <c r="B85" s="348" t="s">
        <v>167</v>
      </c>
      <c r="C85" s="286" t="s">
        <v>219</v>
      </c>
      <c r="D85" s="307">
        <f>17+170</f>
        <v>187</v>
      </c>
      <c r="E85" s="307">
        <f t="shared" si="12"/>
        <v>187</v>
      </c>
      <c r="F85" s="308">
        <v>17</v>
      </c>
      <c r="G85" s="290">
        <f t="shared" si="13"/>
        <v>170</v>
      </c>
      <c r="H85" s="388">
        <f>SUM(K85:N85)</f>
        <v>170</v>
      </c>
      <c r="I85" s="291"/>
      <c r="J85" s="291"/>
      <c r="K85" s="290"/>
      <c r="L85" s="290"/>
      <c r="M85" s="308">
        <v>170</v>
      </c>
      <c r="N85" s="290"/>
      <c r="O85" s="294" t="s">
        <v>30</v>
      </c>
    </row>
    <row r="86" spans="1:15" s="95" customFormat="1" ht="126.75" customHeight="1">
      <c r="A86" s="347">
        <v>19</v>
      </c>
      <c r="B86" s="348" t="s">
        <v>168</v>
      </c>
      <c r="C86" s="286" t="s">
        <v>219</v>
      </c>
      <c r="D86" s="307">
        <f>150+17</f>
        <v>167</v>
      </c>
      <c r="E86" s="307">
        <f t="shared" si="12"/>
        <v>167</v>
      </c>
      <c r="F86" s="308">
        <v>17</v>
      </c>
      <c r="G86" s="290">
        <f t="shared" si="13"/>
        <v>150</v>
      </c>
      <c r="H86" s="388">
        <f>SUM(I86:N86)</f>
        <v>150</v>
      </c>
      <c r="I86" s="308">
        <v>150</v>
      </c>
      <c r="J86" s="291"/>
      <c r="K86" s="290"/>
      <c r="L86" s="290"/>
      <c r="M86" s="308">
        <v>0</v>
      </c>
      <c r="N86" s="290"/>
      <c r="O86" s="294" t="s">
        <v>30</v>
      </c>
    </row>
    <row r="87" spans="1:15" s="95" customFormat="1" ht="111.75">
      <c r="A87" s="347">
        <v>20</v>
      </c>
      <c r="B87" s="348" t="s">
        <v>169</v>
      </c>
      <c r="C87" s="286" t="s">
        <v>219</v>
      </c>
      <c r="D87" s="307">
        <f>170+22</f>
        <v>192</v>
      </c>
      <c r="E87" s="307">
        <f t="shared" si="12"/>
        <v>192</v>
      </c>
      <c r="F87" s="308">
        <v>22</v>
      </c>
      <c r="G87" s="290">
        <f t="shared" si="13"/>
        <v>170</v>
      </c>
      <c r="H87" s="388">
        <f>SUM(I87:N87)</f>
        <v>170</v>
      </c>
      <c r="I87" s="308">
        <v>170</v>
      </c>
      <c r="J87" s="291"/>
      <c r="K87" s="290"/>
      <c r="L87" s="290"/>
      <c r="M87" s="308">
        <v>0</v>
      </c>
      <c r="N87" s="290"/>
      <c r="O87" s="294" t="s">
        <v>30</v>
      </c>
    </row>
    <row r="88" spans="1:15" s="95" customFormat="1" ht="136.5" customHeight="1">
      <c r="A88" s="347">
        <v>21</v>
      </c>
      <c r="B88" s="348" t="s">
        <v>170</v>
      </c>
      <c r="C88" s="286" t="s">
        <v>219</v>
      </c>
      <c r="D88" s="307">
        <f>150+17</f>
        <v>167</v>
      </c>
      <c r="E88" s="307">
        <f t="shared" si="12"/>
        <v>167</v>
      </c>
      <c r="F88" s="308">
        <v>17</v>
      </c>
      <c r="G88" s="290">
        <f t="shared" si="13"/>
        <v>150</v>
      </c>
      <c r="H88" s="388">
        <f>SUM(I88:N88)</f>
        <v>150</v>
      </c>
      <c r="I88" s="308">
        <v>150</v>
      </c>
      <c r="J88" s="291"/>
      <c r="K88" s="290"/>
      <c r="L88" s="290"/>
      <c r="M88" s="308">
        <v>0</v>
      </c>
      <c r="N88" s="290"/>
      <c r="O88" s="294" t="s">
        <v>30</v>
      </c>
    </row>
    <row r="89" spans="1:15" s="95" customFormat="1" ht="126" customHeight="1">
      <c r="A89" s="347">
        <v>22</v>
      </c>
      <c r="B89" s="348" t="s">
        <v>171</v>
      </c>
      <c r="C89" s="286" t="s">
        <v>219</v>
      </c>
      <c r="D89" s="307">
        <f>39+370</f>
        <v>409</v>
      </c>
      <c r="E89" s="307">
        <f t="shared" si="12"/>
        <v>409</v>
      </c>
      <c r="F89" s="308">
        <v>39</v>
      </c>
      <c r="G89" s="290">
        <f t="shared" si="13"/>
        <v>370</v>
      </c>
      <c r="H89" s="388">
        <f>SUM(K89:N89)</f>
        <v>370</v>
      </c>
      <c r="I89" s="291"/>
      <c r="J89" s="291"/>
      <c r="K89" s="290"/>
      <c r="L89" s="290"/>
      <c r="M89" s="308">
        <v>370</v>
      </c>
      <c r="N89" s="290"/>
      <c r="O89" s="294" t="s">
        <v>30</v>
      </c>
    </row>
    <row r="90" spans="1:15" s="95" customFormat="1" ht="141" customHeight="1">
      <c r="A90" s="347">
        <v>23</v>
      </c>
      <c r="B90" s="348" t="s">
        <v>372</v>
      </c>
      <c r="C90" s="286" t="s">
        <v>219</v>
      </c>
      <c r="D90" s="307">
        <v>300</v>
      </c>
      <c r="E90" s="307">
        <f t="shared" si="12"/>
        <v>300</v>
      </c>
      <c r="F90" s="308">
        <v>0</v>
      </c>
      <c r="G90" s="290">
        <f t="shared" si="13"/>
        <v>300</v>
      </c>
      <c r="H90" s="388">
        <f>SUM(K90:N90)</f>
        <v>300</v>
      </c>
      <c r="I90" s="291"/>
      <c r="J90" s="291"/>
      <c r="K90" s="290"/>
      <c r="L90" s="290"/>
      <c r="M90" s="308">
        <v>300</v>
      </c>
      <c r="N90" s="290"/>
      <c r="O90" s="294" t="s">
        <v>30</v>
      </c>
    </row>
    <row r="91" spans="1:15" s="95" customFormat="1" ht="138" customHeight="1">
      <c r="A91" s="347">
        <v>24</v>
      </c>
      <c r="B91" s="348" t="s">
        <v>172</v>
      </c>
      <c r="C91" s="286" t="s">
        <v>219</v>
      </c>
      <c r="D91" s="307">
        <f>200+113</f>
        <v>313</v>
      </c>
      <c r="E91" s="307">
        <f t="shared" si="12"/>
        <v>313</v>
      </c>
      <c r="F91" s="308">
        <f>44+69</f>
        <v>113</v>
      </c>
      <c r="G91" s="290">
        <f>D91-F91</f>
        <v>200</v>
      </c>
      <c r="H91" s="388">
        <f>SUM(I91:N91)</f>
        <v>200</v>
      </c>
      <c r="I91" s="308">
        <v>200</v>
      </c>
      <c r="J91" s="291"/>
      <c r="K91" s="290"/>
      <c r="L91" s="290"/>
      <c r="M91" s="308">
        <v>0</v>
      </c>
      <c r="N91" s="290"/>
      <c r="O91" s="294" t="s">
        <v>30</v>
      </c>
    </row>
    <row r="92" spans="1:15" s="95" customFormat="1" ht="132.75" customHeight="1">
      <c r="A92" s="347">
        <v>25</v>
      </c>
      <c r="B92" s="348" t="s">
        <v>373</v>
      </c>
      <c r="C92" s="286" t="s">
        <v>219</v>
      </c>
      <c r="D92" s="307">
        <f>140+23+37</f>
        <v>200</v>
      </c>
      <c r="E92" s="307">
        <f t="shared" si="12"/>
        <v>200</v>
      </c>
      <c r="F92" s="308">
        <f>23+37</f>
        <v>60</v>
      </c>
      <c r="G92" s="290">
        <f>D92-F92</f>
        <v>140</v>
      </c>
      <c r="H92" s="388">
        <f>SUM(I92:N92)</f>
        <v>140</v>
      </c>
      <c r="I92" s="308">
        <v>140</v>
      </c>
      <c r="J92" s="291"/>
      <c r="K92" s="290"/>
      <c r="L92" s="290"/>
      <c r="M92" s="308">
        <v>0</v>
      </c>
      <c r="N92" s="290"/>
      <c r="O92" s="294" t="s">
        <v>30</v>
      </c>
    </row>
    <row r="93" spans="1:15" s="95" customFormat="1" ht="111.75">
      <c r="A93" s="347">
        <v>26</v>
      </c>
      <c r="B93" s="348" t="s">
        <v>133</v>
      </c>
      <c r="C93" s="286" t="s">
        <v>219</v>
      </c>
      <c r="D93" s="307">
        <f>62+270</f>
        <v>332</v>
      </c>
      <c r="E93" s="307">
        <f t="shared" si="12"/>
        <v>332</v>
      </c>
      <c r="F93" s="308">
        <f>44+18</f>
        <v>62</v>
      </c>
      <c r="G93" s="290">
        <f t="shared" si="13"/>
        <v>270</v>
      </c>
      <c r="H93" s="388">
        <f>SUM(K93:N93)</f>
        <v>270</v>
      </c>
      <c r="I93" s="291"/>
      <c r="J93" s="291"/>
      <c r="K93" s="290"/>
      <c r="L93" s="290"/>
      <c r="M93" s="308">
        <v>270</v>
      </c>
      <c r="N93" s="290"/>
      <c r="O93" s="294" t="s">
        <v>30</v>
      </c>
    </row>
    <row r="94" spans="1:15" s="95" customFormat="1" ht="84" customHeight="1">
      <c r="A94" s="347">
        <v>27</v>
      </c>
      <c r="B94" s="348" t="s">
        <v>183</v>
      </c>
      <c r="C94" s="286" t="s">
        <v>219</v>
      </c>
      <c r="D94" s="307">
        <f>107+300</f>
        <v>407</v>
      </c>
      <c r="E94" s="307">
        <f>D94</f>
        <v>407</v>
      </c>
      <c r="F94" s="308">
        <v>107</v>
      </c>
      <c r="G94" s="290">
        <f aca="true" t="shared" si="14" ref="G94:G109">D94-F94</f>
        <v>300</v>
      </c>
      <c r="H94" s="388">
        <f>SUM(K94:N94)</f>
        <v>300</v>
      </c>
      <c r="I94" s="291"/>
      <c r="J94" s="291"/>
      <c r="K94" s="290"/>
      <c r="L94" s="290"/>
      <c r="M94" s="308">
        <v>300</v>
      </c>
      <c r="N94" s="290"/>
      <c r="O94" s="294" t="s">
        <v>30</v>
      </c>
    </row>
    <row r="95" spans="1:15" s="95" customFormat="1" ht="126" customHeight="1">
      <c r="A95" s="347">
        <v>28</v>
      </c>
      <c r="B95" s="314" t="s">
        <v>255</v>
      </c>
      <c r="C95" s="338" t="s">
        <v>219</v>
      </c>
      <c r="D95" s="307">
        <f>53+300</f>
        <v>353</v>
      </c>
      <c r="E95" s="319">
        <f>D95</f>
        <v>353</v>
      </c>
      <c r="F95" s="308">
        <v>53</v>
      </c>
      <c r="G95" s="290">
        <f t="shared" si="14"/>
        <v>300</v>
      </c>
      <c r="H95" s="388">
        <f>SUM(K95:N95)</f>
        <v>300</v>
      </c>
      <c r="I95" s="291"/>
      <c r="J95" s="291"/>
      <c r="K95" s="290">
        <v>0</v>
      </c>
      <c r="L95" s="290"/>
      <c r="M95" s="308">
        <v>300</v>
      </c>
      <c r="N95" s="290"/>
      <c r="O95" s="294" t="s">
        <v>30</v>
      </c>
    </row>
    <row r="96" spans="1:15" s="95" customFormat="1" ht="118.5" customHeight="1">
      <c r="A96" s="347">
        <v>29</v>
      </c>
      <c r="B96" s="314" t="s">
        <v>261</v>
      </c>
      <c r="C96" s="338" t="s">
        <v>219</v>
      </c>
      <c r="D96" s="307">
        <f>240+43</f>
        <v>283</v>
      </c>
      <c r="E96" s="319">
        <f>D96</f>
        <v>283</v>
      </c>
      <c r="F96" s="308">
        <f>43</f>
        <v>43</v>
      </c>
      <c r="G96" s="290">
        <f t="shared" si="14"/>
        <v>240</v>
      </c>
      <c r="H96" s="388">
        <f>SUM(I96:N96)</f>
        <v>240</v>
      </c>
      <c r="I96" s="308">
        <v>240</v>
      </c>
      <c r="J96" s="291"/>
      <c r="K96" s="290">
        <v>0</v>
      </c>
      <c r="L96" s="290"/>
      <c r="M96" s="308">
        <v>0</v>
      </c>
      <c r="N96" s="290"/>
      <c r="O96" s="294" t="s">
        <v>30</v>
      </c>
    </row>
    <row r="97" spans="1:15" s="95" customFormat="1" ht="110.25" customHeight="1">
      <c r="A97" s="347">
        <v>30</v>
      </c>
      <c r="B97" s="314" t="s">
        <v>262</v>
      </c>
      <c r="C97" s="338" t="s">
        <v>219</v>
      </c>
      <c r="D97" s="307">
        <f>220+36</f>
        <v>256</v>
      </c>
      <c r="E97" s="319">
        <f>D97</f>
        <v>256</v>
      </c>
      <c r="F97" s="308">
        <v>36</v>
      </c>
      <c r="G97" s="290">
        <f t="shared" si="14"/>
        <v>220</v>
      </c>
      <c r="H97" s="388">
        <f>SUM(I97:N97)</f>
        <v>220</v>
      </c>
      <c r="I97" s="308">
        <v>220</v>
      </c>
      <c r="J97" s="291"/>
      <c r="K97" s="290">
        <v>0</v>
      </c>
      <c r="L97" s="290"/>
      <c r="M97" s="308">
        <v>0</v>
      </c>
      <c r="N97" s="290"/>
      <c r="O97" s="294" t="s">
        <v>30</v>
      </c>
    </row>
    <row r="98" spans="1:15" s="95" customFormat="1" ht="115.5" customHeight="1">
      <c r="A98" s="347">
        <v>31</v>
      </c>
      <c r="B98" s="314" t="s">
        <v>263</v>
      </c>
      <c r="C98" s="338" t="s">
        <v>219</v>
      </c>
      <c r="D98" s="307">
        <f>34+250</f>
        <v>284</v>
      </c>
      <c r="E98" s="319">
        <f aca="true" t="shared" si="15" ref="E98:E109">D98</f>
        <v>284</v>
      </c>
      <c r="F98" s="308">
        <v>34</v>
      </c>
      <c r="G98" s="290">
        <f t="shared" si="14"/>
        <v>250</v>
      </c>
      <c r="H98" s="388">
        <f>SUM(I98:N98)</f>
        <v>250</v>
      </c>
      <c r="I98" s="291"/>
      <c r="J98" s="291"/>
      <c r="K98" s="290">
        <v>0</v>
      </c>
      <c r="L98" s="290"/>
      <c r="M98" s="308">
        <v>250</v>
      </c>
      <c r="N98" s="290"/>
      <c r="O98" s="294" t="s">
        <v>30</v>
      </c>
    </row>
    <row r="99" spans="1:15" s="95" customFormat="1" ht="114" customHeight="1">
      <c r="A99" s="347">
        <v>32</v>
      </c>
      <c r="B99" s="314" t="s">
        <v>265</v>
      </c>
      <c r="C99" s="338" t="s">
        <v>219</v>
      </c>
      <c r="D99" s="307">
        <f>113+400</f>
        <v>513</v>
      </c>
      <c r="E99" s="319">
        <f t="shared" si="15"/>
        <v>513</v>
      </c>
      <c r="F99" s="308">
        <v>113</v>
      </c>
      <c r="G99" s="290">
        <f t="shared" si="14"/>
        <v>400</v>
      </c>
      <c r="H99" s="388">
        <f aca="true" t="shared" si="16" ref="H99:H108">SUM(I99:N99)</f>
        <v>400</v>
      </c>
      <c r="I99" s="291"/>
      <c r="J99" s="291"/>
      <c r="K99" s="290">
        <v>0</v>
      </c>
      <c r="L99" s="290"/>
      <c r="M99" s="308">
        <v>400</v>
      </c>
      <c r="N99" s="290"/>
      <c r="O99" s="294" t="s">
        <v>30</v>
      </c>
    </row>
    <row r="100" spans="1:15" s="95" customFormat="1" ht="107.25" customHeight="1">
      <c r="A100" s="347">
        <v>33</v>
      </c>
      <c r="B100" s="314" t="s">
        <v>266</v>
      </c>
      <c r="C100" s="338" t="s">
        <v>219</v>
      </c>
      <c r="D100" s="307">
        <f>34+210</f>
        <v>244</v>
      </c>
      <c r="E100" s="319">
        <f t="shared" si="15"/>
        <v>244</v>
      </c>
      <c r="F100" s="308">
        <v>34</v>
      </c>
      <c r="G100" s="290">
        <f t="shared" si="14"/>
        <v>210</v>
      </c>
      <c r="H100" s="388">
        <f t="shared" si="16"/>
        <v>210</v>
      </c>
      <c r="I100" s="308">
        <v>210</v>
      </c>
      <c r="J100" s="291"/>
      <c r="K100" s="290">
        <v>0</v>
      </c>
      <c r="L100" s="290"/>
      <c r="M100" s="308">
        <v>0</v>
      </c>
      <c r="N100" s="290"/>
      <c r="O100" s="294" t="s">
        <v>30</v>
      </c>
    </row>
    <row r="101" spans="1:15" s="95" customFormat="1" ht="106.5" customHeight="1">
      <c r="A101" s="347">
        <v>34</v>
      </c>
      <c r="B101" s="314" t="s">
        <v>277</v>
      </c>
      <c r="C101" s="338" t="s">
        <v>219</v>
      </c>
      <c r="D101" s="307">
        <f>240+15</f>
        <v>255</v>
      </c>
      <c r="E101" s="319">
        <f t="shared" si="15"/>
        <v>255</v>
      </c>
      <c r="F101" s="308">
        <v>15</v>
      </c>
      <c r="G101" s="290">
        <f t="shared" si="14"/>
        <v>240</v>
      </c>
      <c r="H101" s="388">
        <f t="shared" si="16"/>
        <v>240</v>
      </c>
      <c r="I101" s="308">
        <v>240</v>
      </c>
      <c r="J101" s="291"/>
      <c r="K101" s="290">
        <v>0</v>
      </c>
      <c r="L101" s="290"/>
      <c r="M101" s="308">
        <v>0</v>
      </c>
      <c r="N101" s="290"/>
      <c r="O101" s="294" t="s">
        <v>30</v>
      </c>
    </row>
    <row r="102" spans="1:15" s="95" customFormat="1" ht="106.5" customHeight="1">
      <c r="A102" s="347">
        <v>35</v>
      </c>
      <c r="B102" s="314" t="s">
        <v>343</v>
      </c>
      <c r="C102" s="338" t="s">
        <v>219</v>
      </c>
      <c r="D102" s="307">
        <f>18+350</f>
        <v>368</v>
      </c>
      <c r="E102" s="319">
        <f t="shared" si="15"/>
        <v>368</v>
      </c>
      <c r="F102" s="308">
        <v>18</v>
      </c>
      <c r="G102" s="290">
        <f t="shared" si="14"/>
        <v>350</v>
      </c>
      <c r="H102" s="388">
        <f t="shared" si="16"/>
        <v>350</v>
      </c>
      <c r="I102" s="308"/>
      <c r="J102" s="291"/>
      <c r="K102" s="290">
        <v>0</v>
      </c>
      <c r="L102" s="290"/>
      <c r="M102" s="308">
        <v>350</v>
      </c>
      <c r="N102" s="290"/>
      <c r="O102" s="294" t="s">
        <v>30</v>
      </c>
    </row>
    <row r="103" spans="1:15" s="95" customFormat="1" ht="106.5" customHeight="1">
      <c r="A103" s="347">
        <v>36</v>
      </c>
      <c r="B103" s="314" t="s">
        <v>344</v>
      </c>
      <c r="C103" s="338" t="s">
        <v>219</v>
      </c>
      <c r="D103" s="307">
        <f>37+350</f>
        <v>387</v>
      </c>
      <c r="E103" s="319">
        <f t="shared" si="15"/>
        <v>387</v>
      </c>
      <c r="F103" s="308">
        <v>37</v>
      </c>
      <c r="G103" s="290">
        <f t="shared" si="14"/>
        <v>350</v>
      </c>
      <c r="H103" s="388">
        <f t="shared" si="16"/>
        <v>350</v>
      </c>
      <c r="I103" s="308"/>
      <c r="J103" s="291"/>
      <c r="K103" s="290">
        <v>0</v>
      </c>
      <c r="L103" s="290"/>
      <c r="M103" s="308">
        <v>350</v>
      </c>
      <c r="N103" s="290"/>
      <c r="O103" s="294" t="s">
        <v>30</v>
      </c>
    </row>
    <row r="104" spans="1:15" s="95" customFormat="1" ht="106.5" customHeight="1">
      <c r="A104" s="347">
        <v>37</v>
      </c>
      <c r="B104" s="314" t="s">
        <v>345</v>
      </c>
      <c r="C104" s="338" t="s">
        <v>219</v>
      </c>
      <c r="D104" s="307">
        <f>34+350</f>
        <v>384</v>
      </c>
      <c r="E104" s="319">
        <f t="shared" si="15"/>
        <v>384</v>
      </c>
      <c r="F104" s="308">
        <v>34</v>
      </c>
      <c r="G104" s="290">
        <f t="shared" si="14"/>
        <v>350</v>
      </c>
      <c r="H104" s="388">
        <f t="shared" si="16"/>
        <v>350</v>
      </c>
      <c r="I104" s="308"/>
      <c r="J104" s="291"/>
      <c r="K104" s="290">
        <v>0</v>
      </c>
      <c r="L104" s="290"/>
      <c r="M104" s="308">
        <v>350</v>
      </c>
      <c r="N104" s="290"/>
      <c r="O104" s="294" t="s">
        <v>30</v>
      </c>
    </row>
    <row r="105" spans="1:15" s="95" customFormat="1" ht="106.5" customHeight="1">
      <c r="A105" s="347">
        <v>38</v>
      </c>
      <c r="B105" s="314" t="s">
        <v>346</v>
      </c>
      <c r="C105" s="338" t="s">
        <v>219</v>
      </c>
      <c r="D105" s="307">
        <f>50+350</f>
        <v>400</v>
      </c>
      <c r="E105" s="319">
        <f t="shared" si="15"/>
        <v>400</v>
      </c>
      <c r="F105" s="308">
        <v>50</v>
      </c>
      <c r="G105" s="290">
        <f t="shared" si="14"/>
        <v>350</v>
      </c>
      <c r="H105" s="388">
        <f t="shared" si="16"/>
        <v>350</v>
      </c>
      <c r="I105" s="308"/>
      <c r="J105" s="291"/>
      <c r="K105" s="290">
        <v>0</v>
      </c>
      <c r="L105" s="290"/>
      <c r="M105" s="308">
        <v>350</v>
      </c>
      <c r="N105" s="290"/>
      <c r="O105" s="294" t="s">
        <v>30</v>
      </c>
    </row>
    <row r="106" spans="1:15" s="95" customFormat="1" ht="106.5" customHeight="1">
      <c r="A106" s="347">
        <v>39</v>
      </c>
      <c r="B106" s="314" t="s">
        <v>347</v>
      </c>
      <c r="C106" s="338" t="s">
        <v>219</v>
      </c>
      <c r="D106" s="307">
        <f>56+350</f>
        <v>406</v>
      </c>
      <c r="E106" s="319">
        <f t="shared" si="15"/>
        <v>406</v>
      </c>
      <c r="F106" s="308">
        <v>56</v>
      </c>
      <c r="G106" s="290">
        <f t="shared" si="14"/>
        <v>350</v>
      </c>
      <c r="H106" s="388">
        <f t="shared" si="16"/>
        <v>350</v>
      </c>
      <c r="I106" s="308"/>
      <c r="J106" s="291"/>
      <c r="K106" s="290">
        <v>0</v>
      </c>
      <c r="L106" s="290"/>
      <c r="M106" s="308">
        <v>350</v>
      </c>
      <c r="N106" s="290"/>
      <c r="O106" s="294" t="s">
        <v>30</v>
      </c>
    </row>
    <row r="107" spans="1:15" s="95" customFormat="1" ht="42">
      <c r="A107" s="347">
        <v>40</v>
      </c>
      <c r="B107" s="314" t="s">
        <v>459</v>
      </c>
      <c r="C107" s="338" t="s">
        <v>219</v>
      </c>
      <c r="D107" s="307">
        <v>10</v>
      </c>
      <c r="E107" s="319">
        <f>D107</f>
        <v>10</v>
      </c>
      <c r="F107" s="308">
        <v>0</v>
      </c>
      <c r="G107" s="290">
        <f>D107-F107</f>
        <v>10</v>
      </c>
      <c r="H107" s="388">
        <f>SUM(I107:N107)</f>
        <v>10</v>
      </c>
      <c r="I107" s="308"/>
      <c r="J107" s="291"/>
      <c r="K107" s="290">
        <v>0</v>
      </c>
      <c r="L107" s="290"/>
      <c r="M107" s="308">
        <v>10</v>
      </c>
      <c r="N107" s="290"/>
      <c r="O107" s="294" t="s">
        <v>30</v>
      </c>
    </row>
    <row r="108" spans="1:15" s="95" customFormat="1" ht="106.5" customHeight="1">
      <c r="A108" s="347">
        <v>41</v>
      </c>
      <c r="B108" s="314" t="s">
        <v>354</v>
      </c>
      <c r="C108" s="338" t="s">
        <v>219</v>
      </c>
      <c r="D108" s="307">
        <f>240+39</f>
        <v>279</v>
      </c>
      <c r="E108" s="319">
        <f t="shared" si="15"/>
        <v>279</v>
      </c>
      <c r="F108" s="308">
        <v>39</v>
      </c>
      <c r="G108" s="290">
        <f t="shared" si="14"/>
        <v>240</v>
      </c>
      <c r="H108" s="388">
        <f t="shared" si="16"/>
        <v>240</v>
      </c>
      <c r="I108" s="308">
        <v>240</v>
      </c>
      <c r="J108" s="291"/>
      <c r="K108" s="290">
        <v>0</v>
      </c>
      <c r="L108" s="290"/>
      <c r="M108" s="308">
        <v>0</v>
      </c>
      <c r="N108" s="290"/>
      <c r="O108" s="294" t="s">
        <v>30</v>
      </c>
    </row>
    <row r="109" spans="1:15" s="95" customFormat="1" ht="109.5" customHeight="1">
      <c r="A109" s="347">
        <v>42</v>
      </c>
      <c r="B109" s="314" t="s">
        <v>355</v>
      </c>
      <c r="C109" s="338" t="s">
        <v>219</v>
      </c>
      <c r="D109" s="307">
        <f>330+39</f>
        <v>369</v>
      </c>
      <c r="E109" s="319">
        <f t="shared" si="15"/>
        <v>369</v>
      </c>
      <c r="F109" s="308">
        <v>39</v>
      </c>
      <c r="G109" s="290">
        <f t="shared" si="14"/>
        <v>330</v>
      </c>
      <c r="H109" s="388">
        <f>SUM(I109:N109)</f>
        <v>330</v>
      </c>
      <c r="I109" s="308">
        <v>330</v>
      </c>
      <c r="J109" s="291"/>
      <c r="K109" s="290">
        <v>0</v>
      </c>
      <c r="L109" s="290"/>
      <c r="M109" s="308">
        <v>0</v>
      </c>
      <c r="N109" s="290"/>
      <c r="O109" s="294" t="s">
        <v>30</v>
      </c>
    </row>
    <row r="110" spans="1:15" s="95" customFormat="1" ht="52.5" customHeight="1">
      <c r="A110" s="191"/>
      <c r="B110" s="13"/>
      <c r="C110" s="192" t="s">
        <v>18</v>
      </c>
      <c r="D110" s="193">
        <f aca="true" t="shared" si="17" ref="D110:N110">SUM(D68:D109)</f>
        <v>11156</v>
      </c>
      <c r="E110" s="193">
        <f t="shared" si="17"/>
        <v>11156</v>
      </c>
      <c r="F110" s="193">
        <f t="shared" si="17"/>
        <v>1509</v>
      </c>
      <c r="G110" s="193">
        <f t="shared" si="17"/>
        <v>9647</v>
      </c>
      <c r="H110" s="389">
        <f t="shared" si="17"/>
        <v>9647</v>
      </c>
      <c r="I110" s="193">
        <f t="shared" si="17"/>
        <v>3950</v>
      </c>
      <c r="J110" s="193">
        <f t="shared" si="17"/>
        <v>0</v>
      </c>
      <c r="K110" s="193">
        <f t="shared" si="17"/>
        <v>22</v>
      </c>
      <c r="L110" s="193">
        <f t="shared" si="17"/>
        <v>0</v>
      </c>
      <c r="M110" s="193">
        <f t="shared" si="17"/>
        <v>5675</v>
      </c>
      <c r="N110" s="193">
        <f t="shared" si="17"/>
        <v>0</v>
      </c>
      <c r="O110" s="194"/>
    </row>
    <row r="111" spans="1:15" s="95" customFormat="1" ht="52.5" customHeight="1">
      <c r="A111" s="191"/>
      <c r="B111" s="13"/>
      <c r="C111" s="192"/>
      <c r="D111" s="14"/>
      <c r="E111" s="14"/>
      <c r="F111" s="14"/>
      <c r="G111" s="14"/>
      <c r="H111" s="14"/>
      <c r="I111" s="14"/>
      <c r="J111" s="14"/>
      <c r="K111" s="14"/>
      <c r="L111" s="14"/>
      <c r="M111" s="14"/>
      <c r="N111" s="14"/>
      <c r="O111" s="194"/>
    </row>
    <row r="112" spans="1:15" s="95" customFormat="1" ht="21.75" customHeight="1" thickBot="1">
      <c r="A112" s="459" t="s">
        <v>76</v>
      </c>
      <c r="B112" s="459"/>
      <c r="C112" s="192"/>
      <c r="D112" s="14"/>
      <c r="E112" s="14"/>
      <c r="F112" s="14"/>
      <c r="G112" s="14"/>
      <c r="H112" s="14"/>
      <c r="I112" s="14"/>
      <c r="J112" s="14"/>
      <c r="K112" s="14"/>
      <c r="L112" s="14"/>
      <c r="M112" s="14"/>
      <c r="N112" s="93" t="s">
        <v>16</v>
      </c>
      <c r="O112" s="194"/>
    </row>
    <row r="113" spans="1:15" s="95" customFormat="1" ht="48" thickBot="1">
      <c r="A113" s="224" t="s">
        <v>17</v>
      </c>
      <c r="B113" s="225" t="s">
        <v>19</v>
      </c>
      <c r="C113" s="226" t="s">
        <v>47</v>
      </c>
      <c r="D113" s="225" t="s">
        <v>185</v>
      </c>
      <c r="E113" s="227" t="s">
        <v>44</v>
      </c>
      <c r="F113" s="228" t="s">
        <v>395</v>
      </c>
      <c r="G113" s="228" t="s">
        <v>93</v>
      </c>
      <c r="H113" s="387" t="s">
        <v>396</v>
      </c>
      <c r="I113" s="108" t="s">
        <v>388</v>
      </c>
      <c r="J113" s="109" t="s">
        <v>45</v>
      </c>
      <c r="K113" s="229" t="s">
        <v>392</v>
      </c>
      <c r="L113" s="228" t="s">
        <v>173</v>
      </c>
      <c r="M113" s="228" t="s">
        <v>21</v>
      </c>
      <c r="N113" s="230" t="s">
        <v>31</v>
      </c>
      <c r="O113" s="86"/>
    </row>
    <row r="114" spans="1:15" s="95" customFormat="1" ht="94.5" customHeight="1">
      <c r="A114" s="347">
        <v>1</v>
      </c>
      <c r="B114" s="306" t="s">
        <v>270</v>
      </c>
      <c r="C114" s="286" t="s">
        <v>219</v>
      </c>
      <c r="D114" s="307">
        <f>26+500</f>
        <v>526</v>
      </c>
      <c r="E114" s="307">
        <f>D114</f>
        <v>526</v>
      </c>
      <c r="F114" s="308">
        <v>26</v>
      </c>
      <c r="G114" s="290">
        <f>D114-F114</f>
        <v>500</v>
      </c>
      <c r="H114" s="388">
        <f>SUM(K114:N114)</f>
        <v>500</v>
      </c>
      <c r="I114" s="291"/>
      <c r="J114" s="291"/>
      <c r="K114" s="290">
        <v>0</v>
      </c>
      <c r="L114" s="290"/>
      <c r="M114" s="308">
        <v>500</v>
      </c>
      <c r="N114" s="290"/>
      <c r="O114" s="294" t="s">
        <v>30</v>
      </c>
    </row>
    <row r="115" spans="1:15" s="95" customFormat="1" ht="84">
      <c r="A115" s="347">
        <v>2</v>
      </c>
      <c r="B115" s="306" t="s">
        <v>247</v>
      </c>
      <c r="C115" s="286" t="s">
        <v>219</v>
      </c>
      <c r="D115" s="307">
        <f>3909+6300</f>
        <v>10209</v>
      </c>
      <c r="E115" s="307">
        <f>D115</f>
        <v>10209</v>
      </c>
      <c r="F115" s="308">
        <v>3909</v>
      </c>
      <c r="G115" s="290">
        <f>D115-F115</f>
        <v>6300</v>
      </c>
      <c r="H115" s="388">
        <f>SUM(K115:N115)</f>
        <v>6300</v>
      </c>
      <c r="I115" s="291"/>
      <c r="J115" s="291"/>
      <c r="K115" s="290"/>
      <c r="L115" s="290"/>
      <c r="M115" s="308">
        <v>6300</v>
      </c>
      <c r="N115" s="290"/>
      <c r="O115" s="294" t="s">
        <v>30</v>
      </c>
    </row>
    <row r="116" spans="1:15" s="95" customFormat="1" ht="55.5">
      <c r="A116" s="347">
        <v>3</v>
      </c>
      <c r="B116" s="306" t="s">
        <v>482</v>
      </c>
      <c r="C116" s="286" t="s">
        <v>108</v>
      </c>
      <c r="D116" s="307">
        <v>20</v>
      </c>
      <c r="E116" s="307">
        <f>D116</f>
        <v>20</v>
      </c>
      <c r="F116" s="308">
        <v>0</v>
      </c>
      <c r="G116" s="290">
        <f>D116-F116</f>
        <v>20</v>
      </c>
      <c r="H116" s="390">
        <f>SUM(I116:N116)</f>
        <v>20</v>
      </c>
      <c r="I116" s="308"/>
      <c r="J116" s="291"/>
      <c r="K116" s="290"/>
      <c r="L116" s="290">
        <v>20</v>
      </c>
      <c r="M116" s="308"/>
      <c r="N116" s="309"/>
      <c r="O116" s="301" t="s">
        <v>32</v>
      </c>
    </row>
    <row r="117" spans="1:15" s="94" customFormat="1" ht="47.25" customHeight="1">
      <c r="A117" s="191"/>
      <c r="B117" s="212"/>
      <c r="C117" s="192" t="s">
        <v>18</v>
      </c>
      <c r="D117" s="208">
        <f aca="true" t="shared" si="18" ref="D117:N117">SUM(D114:D116)</f>
        <v>10755</v>
      </c>
      <c r="E117" s="208">
        <f t="shared" si="18"/>
        <v>10755</v>
      </c>
      <c r="F117" s="208">
        <f t="shared" si="18"/>
        <v>3935</v>
      </c>
      <c r="G117" s="208">
        <f t="shared" si="18"/>
        <v>6820</v>
      </c>
      <c r="H117" s="388">
        <f t="shared" si="18"/>
        <v>6820</v>
      </c>
      <c r="I117" s="208">
        <f t="shared" si="18"/>
        <v>0</v>
      </c>
      <c r="J117" s="208">
        <f t="shared" si="18"/>
        <v>0</v>
      </c>
      <c r="K117" s="208">
        <f t="shared" si="18"/>
        <v>0</v>
      </c>
      <c r="L117" s="208">
        <f t="shared" si="18"/>
        <v>20</v>
      </c>
      <c r="M117" s="208">
        <f t="shared" si="18"/>
        <v>6800</v>
      </c>
      <c r="N117" s="208">
        <f t="shared" si="18"/>
        <v>0</v>
      </c>
      <c r="O117" s="194"/>
    </row>
    <row r="118" spans="1:15" s="94" customFormat="1" ht="31.5" customHeight="1">
      <c r="A118" s="191"/>
      <c r="B118" s="212"/>
      <c r="C118" s="192"/>
      <c r="D118" s="14"/>
      <c r="E118" s="14"/>
      <c r="F118" s="14"/>
      <c r="G118" s="14"/>
      <c r="H118" s="14"/>
      <c r="I118" s="14"/>
      <c r="J118" s="14"/>
      <c r="K118" s="14"/>
      <c r="L118" s="14"/>
      <c r="M118" s="14"/>
      <c r="N118" s="14"/>
      <c r="O118" s="194"/>
    </row>
    <row r="119" spans="1:15" s="94" customFormat="1" ht="33" customHeight="1">
      <c r="A119" s="191"/>
      <c r="B119" s="212"/>
      <c r="C119" s="192"/>
      <c r="D119" s="14"/>
      <c r="E119" s="14"/>
      <c r="F119" s="14"/>
      <c r="G119" s="14"/>
      <c r="H119" s="14"/>
      <c r="I119" s="14"/>
      <c r="J119" s="14"/>
      <c r="K119" s="14"/>
      <c r="L119" s="14"/>
      <c r="M119" s="14"/>
      <c r="N119" s="14"/>
      <c r="O119" s="194"/>
    </row>
    <row r="120" spans="1:15" s="95" customFormat="1" ht="36" customHeight="1" thickBot="1">
      <c r="A120" s="90" t="s">
        <v>89</v>
      </c>
      <c r="B120" s="13"/>
      <c r="C120" s="192"/>
      <c r="D120" s="14"/>
      <c r="E120" s="14"/>
      <c r="F120" s="14"/>
      <c r="G120" s="14"/>
      <c r="H120" s="14"/>
      <c r="I120" s="14"/>
      <c r="J120" s="14"/>
      <c r="K120" s="14"/>
      <c r="L120" s="14"/>
      <c r="M120" s="14"/>
      <c r="N120" s="93" t="s">
        <v>16</v>
      </c>
      <c r="O120" s="194"/>
    </row>
    <row r="121" spans="1:15" s="94" customFormat="1" ht="50.25" customHeight="1" thickBot="1">
      <c r="A121" s="224" t="s">
        <v>17</v>
      </c>
      <c r="B121" s="225" t="s">
        <v>19</v>
      </c>
      <c r="C121" s="226" t="s">
        <v>47</v>
      </c>
      <c r="D121" s="225" t="s">
        <v>185</v>
      </c>
      <c r="E121" s="227" t="s">
        <v>44</v>
      </c>
      <c r="F121" s="228" t="s">
        <v>395</v>
      </c>
      <c r="G121" s="228" t="s">
        <v>93</v>
      </c>
      <c r="H121" s="387" t="s">
        <v>396</v>
      </c>
      <c r="I121" s="108" t="s">
        <v>388</v>
      </c>
      <c r="J121" s="109" t="s">
        <v>45</v>
      </c>
      <c r="K121" s="229" t="s">
        <v>392</v>
      </c>
      <c r="L121" s="228" t="s">
        <v>173</v>
      </c>
      <c r="M121" s="228" t="s">
        <v>21</v>
      </c>
      <c r="N121" s="230" t="s">
        <v>31</v>
      </c>
      <c r="O121" s="86"/>
    </row>
    <row r="122" spans="1:15" s="94" customFormat="1" ht="61.5" customHeight="1">
      <c r="A122" s="284">
        <v>1</v>
      </c>
      <c r="B122" s="318" t="s">
        <v>484</v>
      </c>
      <c r="C122" s="312" t="s">
        <v>191</v>
      </c>
      <c r="D122" s="319">
        <f>51+516</f>
        <v>567</v>
      </c>
      <c r="E122" s="319">
        <f>D122</f>
        <v>567</v>
      </c>
      <c r="F122" s="293">
        <v>51</v>
      </c>
      <c r="G122" s="289">
        <f aca="true" t="shared" si="19" ref="G122:G133">D122-F122</f>
        <v>516</v>
      </c>
      <c r="H122" s="389">
        <f aca="true" t="shared" si="20" ref="H122:H133">SUM(K122:N122)</f>
        <v>516</v>
      </c>
      <c r="I122" s="293"/>
      <c r="J122" s="293"/>
      <c r="K122" s="289"/>
      <c r="L122" s="289"/>
      <c r="M122" s="293">
        <v>516</v>
      </c>
      <c r="N122" s="289"/>
      <c r="O122" s="294" t="s">
        <v>30</v>
      </c>
    </row>
    <row r="123" spans="1:15" s="94" customFormat="1" ht="100.5" customHeight="1">
      <c r="A123" s="284">
        <v>2</v>
      </c>
      <c r="B123" s="296" t="s">
        <v>542</v>
      </c>
      <c r="C123" s="286" t="s">
        <v>196</v>
      </c>
      <c r="D123" s="307">
        <v>172</v>
      </c>
      <c r="E123" s="319">
        <f>D123</f>
        <v>172</v>
      </c>
      <c r="F123" s="308">
        <v>0</v>
      </c>
      <c r="G123" s="290">
        <f>D123-F123</f>
        <v>172</v>
      </c>
      <c r="H123" s="388">
        <f>SUM(K123:N123)</f>
        <v>172</v>
      </c>
      <c r="I123" s="291"/>
      <c r="J123" s="291"/>
      <c r="K123" s="290">
        <v>0</v>
      </c>
      <c r="L123" s="290"/>
      <c r="M123" s="308">
        <v>172</v>
      </c>
      <c r="N123" s="290"/>
      <c r="O123" s="294" t="s">
        <v>30</v>
      </c>
    </row>
    <row r="124" spans="1:15" s="94" customFormat="1" ht="92.25" customHeight="1">
      <c r="A124" s="284">
        <v>3</v>
      </c>
      <c r="B124" s="318" t="s">
        <v>231</v>
      </c>
      <c r="C124" s="338" t="s">
        <v>219</v>
      </c>
      <c r="D124" s="319">
        <f>166+600</f>
        <v>766</v>
      </c>
      <c r="E124" s="319">
        <f aca="true" t="shared" si="21" ref="E124:E129">D124</f>
        <v>766</v>
      </c>
      <c r="F124" s="293">
        <v>166</v>
      </c>
      <c r="G124" s="289">
        <f t="shared" si="19"/>
        <v>600</v>
      </c>
      <c r="H124" s="391">
        <f t="shared" si="20"/>
        <v>600</v>
      </c>
      <c r="I124" s="293"/>
      <c r="J124" s="293"/>
      <c r="K124" s="289"/>
      <c r="L124" s="289"/>
      <c r="M124" s="293">
        <v>600</v>
      </c>
      <c r="N124" s="289"/>
      <c r="O124" s="294" t="s">
        <v>30</v>
      </c>
    </row>
    <row r="125" spans="1:15" s="94" customFormat="1" ht="139.5" customHeight="1">
      <c r="A125" s="284">
        <v>4</v>
      </c>
      <c r="B125" s="296" t="s">
        <v>159</v>
      </c>
      <c r="C125" s="338" t="s">
        <v>219</v>
      </c>
      <c r="D125" s="307">
        <f>169+200</f>
        <v>369</v>
      </c>
      <c r="E125" s="319">
        <f t="shared" si="21"/>
        <v>369</v>
      </c>
      <c r="F125" s="308">
        <v>169</v>
      </c>
      <c r="G125" s="290">
        <f t="shared" si="19"/>
        <v>200</v>
      </c>
      <c r="H125" s="388">
        <f t="shared" si="20"/>
        <v>200</v>
      </c>
      <c r="I125" s="291"/>
      <c r="J125" s="291"/>
      <c r="K125" s="290">
        <v>0</v>
      </c>
      <c r="L125" s="290"/>
      <c r="M125" s="308">
        <f>500-300</f>
        <v>200</v>
      </c>
      <c r="N125" s="290"/>
      <c r="O125" s="294" t="s">
        <v>30</v>
      </c>
    </row>
    <row r="126" spans="1:15" s="94" customFormat="1" ht="137.25" customHeight="1">
      <c r="A126" s="284">
        <v>5</v>
      </c>
      <c r="B126" s="296" t="s">
        <v>249</v>
      </c>
      <c r="C126" s="338" t="s">
        <v>219</v>
      </c>
      <c r="D126" s="307">
        <v>810</v>
      </c>
      <c r="E126" s="319">
        <f t="shared" si="21"/>
        <v>810</v>
      </c>
      <c r="F126" s="308">
        <v>0</v>
      </c>
      <c r="G126" s="290">
        <f t="shared" si="19"/>
        <v>810</v>
      </c>
      <c r="H126" s="388">
        <f t="shared" si="20"/>
        <v>810</v>
      </c>
      <c r="I126" s="291"/>
      <c r="J126" s="291"/>
      <c r="K126" s="290">
        <v>0</v>
      </c>
      <c r="L126" s="290"/>
      <c r="M126" s="308">
        <v>810</v>
      </c>
      <c r="N126" s="290"/>
      <c r="O126" s="294" t="s">
        <v>30</v>
      </c>
    </row>
    <row r="127" spans="1:15" s="94" customFormat="1" ht="69.75">
      <c r="A127" s="284">
        <v>6</v>
      </c>
      <c r="B127" s="296" t="s">
        <v>460</v>
      </c>
      <c r="C127" s="338" t="s">
        <v>219</v>
      </c>
      <c r="D127" s="307">
        <v>1</v>
      </c>
      <c r="E127" s="319">
        <f>D127</f>
        <v>1</v>
      </c>
      <c r="F127" s="308">
        <v>0</v>
      </c>
      <c r="G127" s="290">
        <f t="shared" si="19"/>
        <v>1</v>
      </c>
      <c r="H127" s="388">
        <f t="shared" si="20"/>
        <v>1</v>
      </c>
      <c r="I127" s="291"/>
      <c r="J127" s="291"/>
      <c r="K127" s="290">
        <v>0</v>
      </c>
      <c r="L127" s="290"/>
      <c r="M127" s="308">
        <v>1</v>
      </c>
      <c r="N127" s="290"/>
      <c r="O127" s="294" t="s">
        <v>30</v>
      </c>
    </row>
    <row r="128" spans="1:15" s="94" customFormat="1" ht="42">
      <c r="A128" s="284">
        <v>7</v>
      </c>
      <c r="B128" s="296" t="s">
        <v>461</v>
      </c>
      <c r="C128" s="338" t="s">
        <v>219</v>
      </c>
      <c r="D128" s="307">
        <v>1</v>
      </c>
      <c r="E128" s="319">
        <f>D128</f>
        <v>1</v>
      </c>
      <c r="F128" s="308">
        <v>0</v>
      </c>
      <c r="G128" s="290">
        <f t="shared" si="19"/>
        <v>1</v>
      </c>
      <c r="H128" s="388">
        <f t="shared" si="20"/>
        <v>1</v>
      </c>
      <c r="I128" s="291"/>
      <c r="J128" s="291"/>
      <c r="K128" s="290">
        <v>0</v>
      </c>
      <c r="L128" s="290"/>
      <c r="M128" s="308">
        <v>1</v>
      </c>
      <c r="N128" s="290"/>
      <c r="O128" s="294" t="s">
        <v>30</v>
      </c>
    </row>
    <row r="129" spans="1:15" s="94" customFormat="1" ht="59.25" customHeight="1">
      <c r="A129" s="284">
        <v>8</v>
      </c>
      <c r="B129" s="296" t="s">
        <v>256</v>
      </c>
      <c r="C129" s="338" t="s">
        <v>211</v>
      </c>
      <c r="D129" s="307">
        <f>1+300</f>
        <v>301</v>
      </c>
      <c r="E129" s="319">
        <f t="shared" si="21"/>
        <v>301</v>
      </c>
      <c r="F129" s="308">
        <v>1</v>
      </c>
      <c r="G129" s="290">
        <f t="shared" si="19"/>
        <v>300</v>
      </c>
      <c r="H129" s="388">
        <f t="shared" si="20"/>
        <v>300</v>
      </c>
      <c r="I129" s="291"/>
      <c r="J129" s="291"/>
      <c r="K129" s="290">
        <v>0</v>
      </c>
      <c r="L129" s="290"/>
      <c r="M129" s="308">
        <v>300</v>
      </c>
      <c r="N129" s="290"/>
      <c r="O129" s="294" t="s">
        <v>30</v>
      </c>
    </row>
    <row r="130" spans="1:15" s="94" customFormat="1" ht="113.25" customHeight="1">
      <c r="A130" s="284">
        <v>9</v>
      </c>
      <c r="B130" s="296" t="s">
        <v>322</v>
      </c>
      <c r="C130" s="312" t="s">
        <v>211</v>
      </c>
      <c r="D130" s="307">
        <f>19+130</f>
        <v>149</v>
      </c>
      <c r="E130" s="319">
        <f aca="true" t="shared" si="22" ref="E130:E140">D130</f>
        <v>149</v>
      </c>
      <c r="F130" s="308">
        <v>19</v>
      </c>
      <c r="G130" s="290">
        <f t="shared" si="19"/>
        <v>130</v>
      </c>
      <c r="H130" s="388">
        <f t="shared" si="20"/>
        <v>130</v>
      </c>
      <c r="I130" s="291"/>
      <c r="J130" s="291"/>
      <c r="K130" s="290">
        <v>0</v>
      </c>
      <c r="L130" s="290"/>
      <c r="M130" s="308">
        <v>130</v>
      </c>
      <c r="N130" s="290"/>
      <c r="O130" s="294" t="s">
        <v>30</v>
      </c>
    </row>
    <row r="131" spans="1:15" s="94" customFormat="1" ht="113.25" customHeight="1">
      <c r="A131" s="284">
        <v>10</v>
      </c>
      <c r="B131" s="296" t="s">
        <v>323</v>
      </c>
      <c r="C131" s="312" t="s">
        <v>211</v>
      </c>
      <c r="D131" s="307">
        <f>11+130</f>
        <v>141</v>
      </c>
      <c r="E131" s="319">
        <f t="shared" si="22"/>
        <v>141</v>
      </c>
      <c r="F131" s="308">
        <v>11</v>
      </c>
      <c r="G131" s="290">
        <f t="shared" si="19"/>
        <v>130</v>
      </c>
      <c r="H131" s="388">
        <f t="shared" si="20"/>
        <v>130</v>
      </c>
      <c r="I131" s="291"/>
      <c r="J131" s="291"/>
      <c r="K131" s="290">
        <v>0</v>
      </c>
      <c r="L131" s="290"/>
      <c r="M131" s="308">
        <v>130</v>
      </c>
      <c r="N131" s="290"/>
      <c r="O131" s="294" t="s">
        <v>30</v>
      </c>
    </row>
    <row r="132" spans="1:15" s="94" customFormat="1" ht="113.25" customHeight="1">
      <c r="A132" s="284">
        <v>11</v>
      </c>
      <c r="B132" s="296" t="s">
        <v>560</v>
      </c>
      <c r="C132" s="312" t="s">
        <v>211</v>
      </c>
      <c r="D132" s="307">
        <v>200</v>
      </c>
      <c r="E132" s="319">
        <f t="shared" si="22"/>
        <v>200</v>
      </c>
      <c r="F132" s="308">
        <v>0</v>
      </c>
      <c r="G132" s="290">
        <f t="shared" si="19"/>
        <v>200</v>
      </c>
      <c r="H132" s="388">
        <f t="shared" si="20"/>
        <v>200</v>
      </c>
      <c r="I132" s="291"/>
      <c r="J132" s="291"/>
      <c r="K132" s="290">
        <v>0</v>
      </c>
      <c r="L132" s="290"/>
      <c r="M132" s="308">
        <v>200</v>
      </c>
      <c r="N132" s="290"/>
      <c r="O132" s="294" t="s">
        <v>30</v>
      </c>
    </row>
    <row r="133" spans="1:15" s="94" customFormat="1" ht="113.25" customHeight="1">
      <c r="A133" s="284">
        <v>12</v>
      </c>
      <c r="B133" s="296" t="s">
        <v>558</v>
      </c>
      <c r="C133" s="312" t="s">
        <v>211</v>
      </c>
      <c r="D133" s="307">
        <f>2+2700</f>
        <v>2702</v>
      </c>
      <c r="E133" s="319">
        <f t="shared" si="22"/>
        <v>2702</v>
      </c>
      <c r="F133" s="308">
        <v>2</v>
      </c>
      <c r="G133" s="290">
        <f t="shared" si="19"/>
        <v>2700</v>
      </c>
      <c r="H133" s="388">
        <f t="shared" si="20"/>
        <v>2700</v>
      </c>
      <c r="I133" s="291"/>
      <c r="J133" s="291"/>
      <c r="K133" s="290">
        <v>0</v>
      </c>
      <c r="L133" s="290"/>
      <c r="M133" s="308">
        <v>2700</v>
      </c>
      <c r="N133" s="290"/>
      <c r="O133" s="294" t="s">
        <v>30</v>
      </c>
    </row>
    <row r="134" spans="1:15" s="94" customFormat="1" ht="42">
      <c r="A134" s="284">
        <v>13</v>
      </c>
      <c r="B134" s="296" t="s">
        <v>512</v>
      </c>
      <c r="C134" s="312" t="s">
        <v>211</v>
      </c>
      <c r="D134" s="307">
        <f>93+500</f>
        <v>593</v>
      </c>
      <c r="E134" s="319">
        <f t="shared" si="22"/>
        <v>593</v>
      </c>
      <c r="F134" s="308">
        <v>93</v>
      </c>
      <c r="G134" s="290">
        <f aca="true" t="shared" si="23" ref="G134:G145">D134-F134</f>
        <v>500</v>
      </c>
      <c r="H134" s="388">
        <f aca="true" t="shared" si="24" ref="H134:H145">SUM(K134:N134)</f>
        <v>500</v>
      </c>
      <c r="I134" s="291"/>
      <c r="J134" s="291"/>
      <c r="K134" s="290">
        <v>0</v>
      </c>
      <c r="L134" s="290"/>
      <c r="M134" s="308">
        <v>500</v>
      </c>
      <c r="N134" s="290"/>
      <c r="O134" s="294" t="s">
        <v>30</v>
      </c>
    </row>
    <row r="135" spans="1:15" s="94" customFormat="1" ht="68.25" customHeight="1">
      <c r="A135" s="284">
        <v>14</v>
      </c>
      <c r="B135" s="296" t="s">
        <v>562</v>
      </c>
      <c r="C135" s="312" t="s">
        <v>219</v>
      </c>
      <c r="D135" s="307">
        <v>2</v>
      </c>
      <c r="E135" s="319">
        <f t="shared" si="22"/>
        <v>2</v>
      </c>
      <c r="F135" s="308">
        <v>0</v>
      </c>
      <c r="G135" s="290">
        <f t="shared" si="23"/>
        <v>2</v>
      </c>
      <c r="H135" s="388">
        <f t="shared" si="24"/>
        <v>2</v>
      </c>
      <c r="I135" s="291"/>
      <c r="J135" s="291"/>
      <c r="K135" s="290">
        <v>2</v>
      </c>
      <c r="L135" s="290"/>
      <c r="M135" s="308"/>
      <c r="N135" s="290"/>
      <c r="O135" s="294" t="s">
        <v>30</v>
      </c>
    </row>
    <row r="136" spans="1:15" s="94" customFormat="1" ht="126">
      <c r="A136" s="284">
        <v>15</v>
      </c>
      <c r="B136" s="296" t="s">
        <v>561</v>
      </c>
      <c r="C136" s="312" t="s">
        <v>219</v>
      </c>
      <c r="D136" s="307">
        <f>73+140+2</f>
        <v>215</v>
      </c>
      <c r="E136" s="319">
        <f>D136</f>
        <v>215</v>
      </c>
      <c r="F136" s="308">
        <v>73</v>
      </c>
      <c r="G136" s="290">
        <f>D136-F136</f>
        <v>142</v>
      </c>
      <c r="H136" s="388">
        <f>SUM(K136:N136)</f>
        <v>140</v>
      </c>
      <c r="I136" s="291"/>
      <c r="J136" s="291"/>
      <c r="K136" s="290"/>
      <c r="L136" s="290"/>
      <c r="M136" s="308">
        <v>140</v>
      </c>
      <c r="N136" s="290"/>
      <c r="O136" s="294" t="s">
        <v>30</v>
      </c>
    </row>
    <row r="137" spans="1:15" s="94" customFormat="1" ht="100.5" customHeight="1">
      <c r="A137" s="284">
        <v>16</v>
      </c>
      <c r="B137" s="296" t="s">
        <v>338</v>
      </c>
      <c r="C137" s="312" t="s">
        <v>211</v>
      </c>
      <c r="D137" s="307">
        <v>130</v>
      </c>
      <c r="E137" s="319">
        <f t="shared" si="22"/>
        <v>130</v>
      </c>
      <c r="F137" s="308">
        <v>0</v>
      </c>
      <c r="G137" s="290">
        <f t="shared" si="23"/>
        <v>130</v>
      </c>
      <c r="H137" s="388">
        <f t="shared" si="24"/>
        <v>130</v>
      </c>
      <c r="I137" s="291"/>
      <c r="J137" s="291"/>
      <c r="K137" s="290">
        <v>0</v>
      </c>
      <c r="L137" s="290"/>
      <c r="M137" s="308">
        <v>130</v>
      </c>
      <c r="N137" s="290"/>
      <c r="O137" s="294" t="s">
        <v>30</v>
      </c>
    </row>
    <row r="138" spans="1:15" s="94" customFormat="1" ht="100.5" customHeight="1">
      <c r="A138" s="284">
        <v>17</v>
      </c>
      <c r="B138" s="296" t="s">
        <v>559</v>
      </c>
      <c r="C138" s="312" t="s">
        <v>211</v>
      </c>
      <c r="D138" s="307">
        <v>200</v>
      </c>
      <c r="E138" s="319">
        <f t="shared" si="22"/>
        <v>200</v>
      </c>
      <c r="F138" s="308">
        <v>0</v>
      </c>
      <c r="G138" s="290">
        <f t="shared" si="23"/>
        <v>200</v>
      </c>
      <c r="H138" s="388">
        <f t="shared" si="24"/>
        <v>200</v>
      </c>
      <c r="I138" s="291"/>
      <c r="J138" s="291"/>
      <c r="K138" s="290">
        <v>0</v>
      </c>
      <c r="L138" s="290"/>
      <c r="M138" s="308">
        <v>200</v>
      </c>
      <c r="N138" s="290"/>
      <c r="O138" s="294" t="s">
        <v>30</v>
      </c>
    </row>
    <row r="139" spans="1:15" s="94" customFormat="1" ht="62.25" customHeight="1">
      <c r="A139" s="284">
        <v>18</v>
      </c>
      <c r="B139" s="296" t="s">
        <v>363</v>
      </c>
      <c r="C139" s="312" t="s">
        <v>211</v>
      </c>
      <c r="D139" s="307">
        <v>130</v>
      </c>
      <c r="E139" s="319">
        <f t="shared" si="22"/>
        <v>130</v>
      </c>
      <c r="F139" s="308">
        <v>0</v>
      </c>
      <c r="G139" s="290">
        <f t="shared" si="23"/>
        <v>130</v>
      </c>
      <c r="H139" s="388">
        <f t="shared" si="24"/>
        <v>130</v>
      </c>
      <c r="I139" s="291"/>
      <c r="J139" s="291"/>
      <c r="K139" s="290">
        <v>0</v>
      </c>
      <c r="L139" s="290"/>
      <c r="M139" s="308">
        <v>130</v>
      </c>
      <c r="N139" s="290"/>
      <c r="O139" s="294" t="s">
        <v>30</v>
      </c>
    </row>
    <row r="140" spans="1:15" s="94" customFormat="1" ht="78.75" customHeight="1">
      <c r="A140" s="284">
        <v>19</v>
      </c>
      <c r="B140" s="296" t="s">
        <v>364</v>
      </c>
      <c r="C140" s="312" t="s">
        <v>211</v>
      </c>
      <c r="D140" s="307">
        <v>325</v>
      </c>
      <c r="E140" s="319">
        <f t="shared" si="22"/>
        <v>325</v>
      </c>
      <c r="F140" s="308">
        <v>0</v>
      </c>
      <c r="G140" s="290">
        <f>D140-F140</f>
        <v>325</v>
      </c>
      <c r="H140" s="388">
        <f>SUM(K140:N140)</f>
        <v>325</v>
      </c>
      <c r="I140" s="291"/>
      <c r="J140" s="291"/>
      <c r="K140" s="290">
        <v>0</v>
      </c>
      <c r="L140" s="290"/>
      <c r="M140" s="308">
        <v>325</v>
      </c>
      <c r="N140" s="290"/>
      <c r="O140" s="294" t="s">
        <v>30</v>
      </c>
    </row>
    <row r="141" spans="1:15" s="94" customFormat="1" ht="78.75" customHeight="1">
      <c r="A141" s="284">
        <v>20</v>
      </c>
      <c r="B141" s="296" t="s">
        <v>371</v>
      </c>
      <c r="C141" s="312" t="s">
        <v>211</v>
      </c>
      <c r="D141" s="307">
        <v>300</v>
      </c>
      <c r="E141" s="319">
        <f>D141</f>
        <v>300</v>
      </c>
      <c r="F141" s="308">
        <v>0</v>
      </c>
      <c r="G141" s="290">
        <f>D141-F141</f>
        <v>300</v>
      </c>
      <c r="H141" s="388">
        <f>SUM(K141:N141)</f>
        <v>300</v>
      </c>
      <c r="I141" s="291"/>
      <c r="J141" s="291"/>
      <c r="K141" s="290">
        <v>0</v>
      </c>
      <c r="L141" s="290"/>
      <c r="M141" s="308">
        <v>300</v>
      </c>
      <c r="N141" s="290"/>
      <c r="O141" s="294" t="s">
        <v>30</v>
      </c>
    </row>
    <row r="142" spans="1:15" s="94" customFormat="1" ht="78.75" customHeight="1">
      <c r="A142" s="284">
        <v>21</v>
      </c>
      <c r="B142" s="296" t="s">
        <v>382</v>
      </c>
      <c r="C142" s="312" t="s">
        <v>211</v>
      </c>
      <c r="D142" s="307">
        <v>350</v>
      </c>
      <c r="E142" s="319">
        <f>D142</f>
        <v>350</v>
      </c>
      <c r="F142" s="308">
        <v>0</v>
      </c>
      <c r="G142" s="290">
        <f>D142-F142</f>
        <v>350</v>
      </c>
      <c r="H142" s="388">
        <f>SUM(K142:N142)</f>
        <v>350</v>
      </c>
      <c r="I142" s="291"/>
      <c r="J142" s="291"/>
      <c r="K142" s="290">
        <v>0</v>
      </c>
      <c r="L142" s="290"/>
      <c r="M142" s="308">
        <v>350</v>
      </c>
      <c r="N142" s="290"/>
      <c r="O142" s="294" t="s">
        <v>30</v>
      </c>
    </row>
    <row r="143" spans="1:15" s="94" customFormat="1" ht="78.75" customHeight="1">
      <c r="A143" s="284">
        <v>22</v>
      </c>
      <c r="B143" s="296" t="s">
        <v>383</v>
      </c>
      <c r="C143" s="312" t="s">
        <v>211</v>
      </c>
      <c r="D143" s="307">
        <v>200</v>
      </c>
      <c r="E143" s="319">
        <f>D143</f>
        <v>200</v>
      </c>
      <c r="F143" s="308">
        <v>0</v>
      </c>
      <c r="G143" s="290">
        <f>D143-F143</f>
        <v>200</v>
      </c>
      <c r="H143" s="388">
        <f>SUM(K143:N143)</f>
        <v>200</v>
      </c>
      <c r="I143" s="291"/>
      <c r="J143" s="291"/>
      <c r="K143" s="290">
        <v>0</v>
      </c>
      <c r="L143" s="290"/>
      <c r="M143" s="308">
        <v>200</v>
      </c>
      <c r="N143" s="290"/>
      <c r="O143" s="294" t="s">
        <v>30</v>
      </c>
    </row>
    <row r="144" spans="1:15" s="94" customFormat="1" ht="78.75" customHeight="1">
      <c r="A144" s="284">
        <v>23</v>
      </c>
      <c r="B144" s="296" t="s">
        <v>507</v>
      </c>
      <c r="C144" s="312" t="s">
        <v>211</v>
      </c>
      <c r="D144" s="307">
        <v>130</v>
      </c>
      <c r="E144" s="319">
        <f>D144</f>
        <v>130</v>
      </c>
      <c r="F144" s="308">
        <v>0</v>
      </c>
      <c r="G144" s="290">
        <f>D144-F144</f>
        <v>130</v>
      </c>
      <c r="H144" s="388">
        <f>SUM(K144:N144)</f>
        <v>130</v>
      </c>
      <c r="I144" s="291"/>
      <c r="J144" s="291"/>
      <c r="K144" s="290">
        <v>0</v>
      </c>
      <c r="L144" s="290"/>
      <c r="M144" s="308">
        <v>130</v>
      </c>
      <c r="N144" s="290"/>
      <c r="O144" s="294" t="s">
        <v>30</v>
      </c>
    </row>
    <row r="145" spans="1:15" s="94" customFormat="1" ht="80.25" customHeight="1">
      <c r="A145" s="284">
        <v>24</v>
      </c>
      <c r="B145" s="296" t="s">
        <v>384</v>
      </c>
      <c r="C145" s="312" t="s">
        <v>211</v>
      </c>
      <c r="D145" s="307">
        <v>130</v>
      </c>
      <c r="E145" s="319">
        <f>D145</f>
        <v>130</v>
      </c>
      <c r="F145" s="308">
        <v>0</v>
      </c>
      <c r="G145" s="290">
        <f t="shared" si="23"/>
        <v>130</v>
      </c>
      <c r="H145" s="388">
        <f t="shared" si="24"/>
        <v>130</v>
      </c>
      <c r="I145" s="291"/>
      <c r="J145" s="291"/>
      <c r="K145" s="290">
        <v>0</v>
      </c>
      <c r="L145" s="290"/>
      <c r="M145" s="308">
        <v>130</v>
      </c>
      <c r="N145" s="290"/>
      <c r="O145" s="294" t="s">
        <v>30</v>
      </c>
    </row>
    <row r="146" spans="1:15" s="97" customFormat="1" ht="36.75" customHeight="1">
      <c r="A146" s="191"/>
      <c r="B146" s="212"/>
      <c r="C146" s="192" t="s">
        <v>18</v>
      </c>
      <c r="D146" s="208">
        <f aca="true" t="shared" si="25" ref="D146:N146">SUM(D122:D145)</f>
        <v>8884</v>
      </c>
      <c r="E146" s="208">
        <f t="shared" si="25"/>
        <v>8884</v>
      </c>
      <c r="F146" s="208">
        <f t="shared" si="25"/>
        <v>585</v>
      </c>
      <c r="G146" s="208">
        <f t="shared" si="25"/>
        <v>8299</v>
      </c>
      <c r="H146" s="388">
        <f t="shared" si="25"/>
        <v>8297</v>
      </c>
      <c r="I146" s="208">
        <f t="shared" si="25"/>
        <v>0</v>
      </c>
      <c r="J146" s="208">
        <f t="shared" si="25"/>
        <v>0</v>
      </c>
      <c r="K146" s="208">
        <f t="shared" si="25"/>
        <v>2</v>
      </c>
      <c r="L146" s="208">
        <f t="shared" si="25"/>
        <v>0</v>
      </c>
      <c r="M146" s="208">
        <f t="shared" si="25"/>
        <v>8295</v>
      </c>
      <c r="N146" s="208">
        <f t="shared" si="25"/>
        <v>0</v>
      </c>
      <c r="O146" s="194"/>
    </row>
    <row r="147" spans="1:15" s="97" customFormat="1" ht="16.5" customHeight="1">
      <c r="A147" s="191"/>
      <c r="B147" s="212"/>
      <c r="C147" s="192"/>
      <c r="D147" s="14"/>
      <c r="E147" s="14"/>
      <c r="F147" s="14"/>
      <c r="G147" s="14"/>
      <c r="H147" s="14"/>
      <c r="I147" s="14"/>
      <c r="J147" s="14"/>
      <c r="K147" s="14"/>
      <c r="L147" s="14"/>
      <c r="M147" s="14"/>
      <c r="N147" s="14"/>
      <c r="O147" s="194"/>
    </row>
    <row r="148" spans="1:15" s="97" customFormat="1" ht="27" customHeight="1" hidden="1">
      <c r="A148" s="191"/>
      <c r="B148" s="212"/>
      <c r="C148" s="192"/>
      <c r="D148" s="14"/>
      <c r="E148" s="14"/>
      <c r="F148" s="14"/>
      <c r="G148" s="14"/>
      <c r="H148" s="14"/>
      <c r="I148" s="14"/>
      <c r="J148" s="14"/>
      <c r="K148" s="14"/>
      <c r="L148" s="14"/>
      <c r="M148" s="14"/>
      <c r="N148" s="14"/>
      <c r="O148" s="194"/>
    </row>
    <row r="149" spans="1:15" ht="36" customHeight="1" hidden="1" thickBot="1">
      <c r="A149" s="98" t="s">
        <v>57</v>
      </c>
      <c r="B149" s="18"/>
      <c r="C149" s="18"/>
      <c r="D149" s="18"/>
      <c r="E149" s="18"/>
      <c r="F149" s="18"/>
      <c r="G149" s="18"/>
      <c r="H149" s="15"/>
      <c r="I149" s="15"/>
      <c r="J149" s="15"/>
      <c r="K149" s="15"/>
      <c r="L149" s="15"/>
      <c r="M149" s="15"/>
      <c r="N149" s="93" t="s">
        <v>16</v>
      </c>
      <c r="O149" s="243"/>
    </row>
    <row r="150" spans="1:15" s="94" customFormat="1" ht="68.25" customHeight="1" hidden="1" thickBot="1">
      <c r="A150" s="224" t="s">
        <v>17</v>
      </c>
      <c r="B150" s="225" t="s">
        <v>19</v>
      </c>
      <c r="C150" s="226" t="s">
        <v>47</v>
      </c>
      <c r="D150" s="225" t="s">
        <v>185</v>
      </c>
      <c r="E150" s="227" t="s">
        <v>44</v>
      </c>
      <c r="F150" s="228" t="s">
        <v>395</v>
      </c>
      <c r="G150" s="228" t="s">
        <v>93</v>
      </c>
      <c r="H150" s="228" t="s">
        <v>396</v>
      </c>
      <c r="I150" s="108" t="s">
        <v>388</v>
      </c>
      <c r="J150" s="109" t="s">
        <v>45</v>
      </c>
      <c r="K150" s="229" t="s">
        <v>392</v>
      </c>
      <c r="L150" s="228" t="s">
        <v>173</v>
      </c>
      <c r="M150" s="228" t="s">
        <v>21</v>
      </c>
      <c r="N150" s="230" t="s">
        <v>31</v>
      </c>
      <c r="O150" s="86"/>
    </row>
    <row r="151" spans="1:15" s="94" customFormat="1" ht="18" customHeight="1" hidden="1">
      <c r="A151" s="110">
        <v>1</v>
      </c>
      <c r="B151" s="164"/>
      <c r="C151" s="241"/>
      <c r="D151" s="201"/>
      <c r="E151" s="201"/>
      <c r="F151" s="201"/>
      <c r="G151" s="202"/>
      <c r="H151" s="203"/>
      <c r="I151" s="236"/>
      <c r="J151" s="236"/>
      <c r="K151" s="236"/>
      <c r="L151" s="236"/>
      <c r="M151" s="236"/>
      <c r="N151" s="201"/>
      <c r="O151" s="149" t="s">
        <v>30</v>
      </c>
    </row>
    <row r="152" spans="1:15" s="95" customFormat="1" ht="18" customHeight="1" hidden="1">
      <c r="A152" s="191"/>
      <c r="B152" s="13"/>
      <c r="C152" s="192" t="s">
        <v>18</v>
      </c>
      <c r="D152" s="193">
        <f aca="true" t="shared" si="26" ref="D152:N152">SUM(D151:D151)</f>
        <v>0</v>
      </c>
      <c r="E152" s="193">
        <f t="shared" si="26"/>
        <v>0</v>
      </c>
      <c r="F152" s="193">
        <f t="shared" si="26"/>
        <v>0</v>
      </c>
      <c r="G152" s="193">
        <f t="shared" si="26"/>
        <v>0</v>
      </c>
      <c r="H152" s="193">
        <f t="shared" si="26"/>
        <v>0</v>
      </c>
      <c r="I152" s="193">
        <f t="shared" si="26"/>
        <v>0</v>
      </c>
      <c r="J152" s="193">
        <f t="shared" si="26"/>
        <v>0</v>
      </c>
      <c r="K152" s="193">
        <f t="shared" si="26"/>
        <v>0</v>
      </c>
      <c r="L152" s="193">
        <f t="shared" si="26"/>
        <v>0</v>
      </c>
      <c r="M152" s="193">
        <f t="shared" si="26"/>
        <v>0</v>
      </c>
      <c r="N152" s="193">
        <f t="shared" si="26"/>
        <v>0</v>
      </c>
      <c r="O152" s="194"/>
    </row>
    <row r="153" spans="1:15" s="95" customFormat="1" ht="30.75" customHeight="1" hidden="1">
      <c r="A153" s="191"/>
      <c r="B153" s="13"/>
      <c r="C153" s="192"/>
      <c r="D153" s="14"/>
      <c r="E153" s="14"/>
      <c r="F153" s="14"/>
      <c r="G153" s="14"/>
      <c r="H153" s="14"/>
      <c r="I153" s="14"/>
      <c r="J153" s="14"/>
      <c r="K153" s="14"/>
      <c r="L153" s="14"/>
      <c r="M153" s="14"/>
      <c r="N153" s="14"/>
      <c r="O153" s="194"/>
    </row>
    <row r="154" spans="1:15" s="95" customFormat="1" ht="25.5" customHeight="1">
      <c r="A154" s="191"/>
      <c r="B154" s="13"/>
      <c r="C154" s="192"/>
      <c r="D154" s="14"/>
      <c r="E154" s="14"/>
      <c r="F154" s="14"/>
      <c r="G154" s="14"/>
      <c r="H154" s="14"/>
      <c r="I154" s="14"/>
      <c r="J154" s="14"/>
      <c r="K154" s="14"/>
      <c r="L154" s="14"/>
      <c r="M154" s="14"/>
      <c r="N154" s="14"/>
      <c r="O154" s="194"/>
    </row>
    <row r="155" spans="1:15" s="99" customFormat="1" ht="36" customHeight="1" thickBot="1">
      <c r="A155" s="266" t="s">
        <v>27</v>
      </c>
      <c r="B155" s="90"/>
      <c r="C155" s="213"/>
      <c r="D155" s="85"/>
      <c r="E155" s="85"/>
      <c r="F155" s="13"/>
      <c r="G155" s="214"/>
      <c r="H155" s="85"/>
      <c r="I155" s="85"/>
      <c r="J155" s="85"/>
      <c r="K155" s="13"/>
      <c r="L155" s="215"/>
      <c r="M155" s="13"/>
      <c r="N155" s="93" t="s">
        <v>16</v>
      </c>
      <c r="O155" s="86"/>
    </row>
    <row r="156" spans="1:15" s="94" customFormat="1" ht="48" thickBot="1">
      <c r="A156" s="224" t="s">
        <v>17</v>
      </c>
      <c r="B156" s="225" t="s">
        <v>19</v>
      </c>
      <c r="C156" s="226" t="s">
        <v>47</v>
      </c>
      <c r="D156" s="225" t="s">
        <v>185</v>
      </c>
      <c r="E156" s="227" t="s">
        <v>44</v>
      </c>
      <c r="F156" s="228" t="s">
        <v>395</v>
      </c>
      <c r="G156" s="228" t="s">
        <v>93</v>
      </c>
      <c r="H156" s="387" t="s">
        <v>396</v>
      </c>
      <c r="I156" s="108" t="s">
        <v>388</v>
      </c>
      <c r="J156" s="109" t="s">
        <v>45</v>
      </c>
      <c r="K156" s="229" t="s">
        <v>392</v>
      </c>
      <c r="L156" s="228" t="s">
        <v>173</v>
      </c>
      <c r="M156" s="228" t="s">
        <v>21</v>
      </c>
      <c r="N156" s="230" t="s">
        <v>31</v>
      </c>
      <c r="O156" s="86"/>
    </row>
    <row r="157" spans="1:15" s="94" customFormat="1" ht="42">
      <c r="A157" s="284">
        <v>1</v>
      </c>
      <c r="B157" s="285" t="s">
        <v>543</v>
      </c>
      <c r="C157" s="286" t="s">
        <v>196</v>
      </c>
      <c r="D157" s="308">
        <v>1</v>
      </c>
      <c r="E157" s="293">
        <f aca="true" t="shared" si="27" ref="E157:E168">D157</f>
        <v>1</v>
      </c>
      <c r="F157" s="293">
        <v>0</v>
      </c>
      <c r="G157" s="308">
        <f aca="true" t="shared" si="28" ref="G157:G164">D157-F157</f>
        <v>1</v>
      </c>
      <c r="H157" s="388">
        <f aca="true" t="shared" si="29" ref="H157:H168">SUM(K157:N157)</f>
        <v>1</v>
      </c>
      <c r="I157" s="292"/>
      <c r="J157" s="292"/>
      <c r="K157" s="293"/>
      <c r="L157" s="293"/>
      <c r="M157" s="293">
        <v>1</v>
      </c>
      <c r="N157" s="308"/>
      <c r="O157" s="294" t="s">
        <v>30</v>
      </c>
    </row>
    <row r="158" spans="1:15" s="94" customFormat="1" ht="53.25" customHeight="1">
      <c r="A158" s="284">
        <v>2</v>
      </c>
      <c r="B158" s="285" t="s">
        <v>544</v>
      </c>
      <c r="C158" s="286" t="s">
        <v>196</v>
      </c>
      <c r="D158" s="308">
        <v>119</v>
      </c>
      <c r="E158" s="293">
        <f t="shared" si="27"/>
        <v>119</v>
      </c>
      <c r="F158" s="293">
        <v>0</v>
      </c>
      <c r="G158" s="308">
        <f>D158-F158</f>
        <v>119</v>
      </c>
      <c r="H158" s="388">
        <f t="shared" si="29"/>
        <v>119</v>
      </c>
      <c r="I158" s="292"/>
      <c r="J158" s="292"/>
      <c r="K158" s="293"/>
      <c r="L158" s="293"/>
      <c r="M158" s="293">
        <v>119</v>
      </c>
      <c r="N158" s="308"/>
      <c r="O158" s="294" t="s">
        <v>30</v>
      </c>
    </row>
    <row r="159" spans="1:15" s="163" customFormat="1" ht="56.25" customHeight="1">
      <c r="A159" s="284">
        <v>3</v>
      </c>
      <c r="B159" s="296" t="s">
        <v>120</v>
      </c>
      <c r="C159" s="286" t="s">
        <v>196</v>
      </c>
      <c r="D159" s="287">
        <f>70+212</f>
        <v>282</v>
      </c>
      <c r="E159" s="288">
        <f t="shared" si="27"/>
        <v>282</v>
      </c>
      <c r="F159" s="290">
        <v>70</v>
      </c>
      <c r="G159" s="290">
        <f t="shared" si="28"/>
        <v>212</v>
      </c>
      <c r="H159" s="388">
        <f t="shared" si="29"/>
        <v>212</v>
      </c>
      <c r="I159" s="291"/>
      <c r="J159" s="291"/>
      <c r="K159" s="290"/>
      <c r="L159" s="290"/>
      <c r="M159" s="308">
        <v>212</v>
      </c>
      <c r="N159" s="290"/>
      <c r="O159" s="294" t="s">
        <v>30</v>
      </c>
    </row>
    <row r="160" spans="1:15" s="163" customFormat="1" ht="49.5" customHeight="1">
      <c r="A160" s="284">
        <v>4</v>
      </c>
      <c r="B160" s="329" t="s">
        <v>138</v>
      </c>
      <c r="C160" s="286" t="s">
        <v>196</v>
      </c>
      <c r="D160" s="287">
        <f>18+55</f>
        <v>73</v>
      </c>
      <c r="E160" s="288">
        <f t="shared" si="27"/>
        <v>73</v>
      </c>
      <c r="F160" s="289">
        <v>18</v>
      </c>
      <c r="G160" s="290">
        <f t="shared" si="28"/>
        <v>55</v>
      </c>
      <c r="H160" s="388">
        <f t="shared" si="29"/>
        <v>55</v>
      </c>
      <c r="I160" s="292"/>
      <c r="J160" s="292"/>
      <c r="K160" s="289"/>
      <c r="L160" s="289"/>
      <c r="M160" s="293">
        <v>55</v>
      </c>
      <c r="N160" s="289"/>
      <c r="O160" s="294" t="s">
        <v>30</v>
      </c>
    </row>
    <row r="161" spans="1:15" s="163" customFormat="1" ht="49.5" customHeight="1">
      <c r="A161" s="284">
        <v>5</v>
      </c>
      <c r="B161" s="329" t="s">
        <v>139</v>
      </c>
      <c r="C161" s="286" t="s">
        <v>196</v>
      </c>
      <c r="D161" s="287">
        <f>49+149</f>
        <v>198</v>
      </c>
      <c r="E161" s="288">
        <f t="shared" si="27"/>
        <v>198</v>
      </c>
      <c r="F161" s="289">
        <v>49</v>
      </c>
      <c r="G161" s="290">
        <f t="shared" si="28"/>
        <v>149</v>
      </c>
      <c r="H161" s="388">
        <f t="shared" si="29"/>
        <v>149</v>
      </c>
      <c r="I161" s="292"/>
      <c r="J161" s="292"/>
      <c r="K161" s="289"/>
      <c r="L161" s="289"/>
      <c r="M161" s="293">
        <v>149</v>
      </c>
      <c r="N161" s="289"/>
      <c r="O161" s="294" t="s">
        <v>30</v>
      </c>
    </row>
    <row r="162" spans="1:15" s="163" customFormat="1" ht="46.5" customHeight="1">
      <c r="A162" s="284">
        <v>6</v>
      </c>
      <c r="B162" s="329" t="s">
        <v>140</v>
      </c>
      <c r="C162" s="286" t="s">
        <v>196</v>
      </c>
      <c r="D162" s="287">
        <f>16+33+34</f>
        <v>83</v>
      </c>
      <c r="E162" s="288">
        <f t="shared" si="27"/>
        <v>83</v>
      </c>
      <c r="F162" s="289">
        <f>16+33</f>
        <v>49</v>
      </c>
      <c r="G162" s="290">
        <f t="shared" si="28"/>
        <v>34</v>
      </c>
      <c r="H162" s="388">
        <f t="shared" si="29"/>
        <v>34</v>
      </c>
      <c r="I162" s="292"/>
      <c r="J162" s="292"/>
      <c r="K162" s="289"/>
      <c r="L162" s="289"/>
      <c r="M162" s="293">
        <v>34</v>
      </c>
      <c r="N162" s="289"/>
      <c r="O162" s="294" t="s">
        <v>30</v>
      </c>
    </row>
    <row r="163" spans="1:15" s="163" customFormat="1" ht="47.25" customHeight="1">
      <c r="A163" s="284">
        <v>7</v>
      </c>
      <c r="B163" s="329" t="s">
        <v>197</v>
      </c>
      <c r="C163" s="286" t="s">
        <v>196</v>
      </c>
      <c r="D163" s="287">
        <v>1</v>
      </c>
      <c r="E163" s="288">
        <f t="shared" si="27"/>
        <v>1</v>
      </c>
      <c r="F163" s="289">
        <v>0</v>
      </c>
      <c r="G163" s="290">
        <f>D163-F163</f>
        <v>1</v>
      </c>
      <c r="H163" s="388">
        <f t="shared" si="29"/>
        <v>1</v>
      </c>
      <c r="I163" s="292"/>
      <c r="J163" s="292"/>
      <c r="K163" s="289"/>
      <c r="L163" s="289"/>
      <c r="M163" s="293">
        <v>1</v>
      </c>
      <c r="N163" s="289"/>
      <c r="O163" s="294" t="s">
        <v>30</v>
      </c>
    </row>
    <row r="164" spans="1:15" s="163" customFormat="1" ht="48.75" customHeight="1">
      <c r="A164" s="284">
        <v>8</v>
      </c>
      <c r="B164" s="330" t="s">
        <v>96</v>
      </c>
      <c r="C164" s="286" t="s">
        <v>196</v>
      </c>
      <c r="D164" s="287">
        <f>46+71</f>
        <v>117</v>
      </c>
      <c r="E164" s="288">
        <f t="shared" si="27"/>
        <v>117</v>
      </c>
      <c r="F164" s="308">
        <f>23+23</f>
        <v>46</v>
      </c>
      <c r="G164" s="290">
        <f t="shared" si="28"/>
        <v>71</v>
      </c>
      <c r="H164" s="388">
        <f t="shared" si="29"/>
        <v>71</v>
      </c>
      <c r="I164" s="291"/>
      <c r="J164" s="291"/>
      <c r="K164" s="331"/>
      <c r="L164" s="308">
        <v>0</v>
      </c>
      <c r="M164" s="308">
        <v>71</v>
      </c>
      <c r="N164" s="331"/>
      <c r="O164" s="294" t="s">
        <v>30</v>
      </c>
    </row>
    <row r="165" spans="1:15" s="163" customFormat="1" ht="51" customHeight="1">
      <c r="A165" s="284">
        <v>9</v>
      </c>
      <c r="B165" s="285" t="s">
        <v>121</v>
      </c>
      <c r="C165" s="286" t="s">
        <v>196</v>
      </c>
      <c r="D165" s="287">
        <f>52+78</f>
        <v>130</v>
      </c>
      <c r="E165" s="288">
        <f t="shared" si="27"/>
        <v>130</v>
      </c>
      <c r="F165" s="289">
        <f>26+26</f>
        <v>52</v>
      </c>
      <c r="G165" s="290">
        <f aca="true" t="shared" si="30" ref="G165:G194">D165-F165</f>
        <v>78</v>
      </c>
      <c r="H165" s="388">
        <f t="shared" si="29"/>
        <v>78</v>
      </c>
      <c r="I165" s="292"/>
      <c r="J165" s="292"/>
      <c r="K165" s="289"/>
      <c r="L165" s="289"/>
      <c r="M165" s="293">
        <v>78</v>
      </c>
      <c r="N165" s="290"/>
      <c r="O165" s="294" t="s">
        <v>30</v>
      </c>
    </row>
    <row r="166" spans="1:15" s="163" customFormat="1" ht="51" customHeight="1">
      <c r="A166" s="284">
        <v>10</v>
      </c>
      <c r="B166" s="285" t="s">
        <v>122</v>
      </c>
      <c r="C166" s="286" t="s">
        <v>196</v>
      </c>
      <c r="D166" s="287">
        <f>49+3</f>
        <v>52</v>
      </c>
      <c r="E166" s="288">
        <f t="shared" si="27"/>
        <v>52</v>
      </c>
      <c r="F166" s="289">
        <f>16+33</f>
        <v>49</v>
      </c>
      <c r="G166" s="290">
        <f t="shared" si="30"/>
        <v>3</v>
      </c>
      <c r="H166" s="388">
        <f t="shared" si="29"/>
        <v>3</v>
      </c>
      <c r="I166" s="292"/>
      <c r="J166" s="292"/>
      <c r="K166" s="289"/>
      <c r="L166" s="289"/>
      <c r="M166" s="293">
        <v>3</v>
      </c>
      <c r="N166" s="290"/>
      <c r="O166" s="294" t="s">
        <v>30</v>
      </c>
    </row>
    <row r="167" spans="1:15" s="163" customFormat="1" ht="51" customHeight="1">
      <c r="A167" s="284">
        <v>11</v>
      </c>
      <c r="B167" s="285" t="s">
        <v>123</v>
      </c>
      <c r="C167" s="286" t="s">
        <v>196</v>
      </c>
      <c r="D167" s="287">
        <f>142+96</f>
        <v>238</v>
      </c>
      <c r="E167" s="288">
        <f t="shared" si="27"/>
        <v>238</v>
      </c>
      <c r="F167" s="289">
        <f>47+95</f>
        <v>142</v>
      </c>
      <c r="G167" s="290">
        <f t="shared" si="30"/>
        <v>96</v>
      </c>
      <c r="H167" s="388">
        <f t="shared" si="29"/>
        <v>96</v>
      </c>
      <c r="I167" s="292"/>
      <c r="J167" s="292"/>
      <c r="K167" s="289"/>
      <c r="L167" s="289"/>
      <c r="M167" s="293">
        <v>96</v>
      </c>
      <c r="N167" s="290"/>
      <c r="O167" s="294" t="s">
        <v>30</v>
      </c>
    </row>
    <row r="168" spans="1:15" s="163" customFormat="1" ht="51" customHeight="1">
      <c r="A168" s="284">
        <v>12</v>
      </c>
      <c r="B168" s="285" t="s">
        <v>124</v>
      </c>
      <c r="C168" s="286" t="s">
        <v>196</v>
      </c>
      <c r="D168" s="287">
        <f>284+429</f>
        <v>713</v>
      </c>
      <c r="E168" s="288">
        <f t="shared" si="27"/>
        <v>713</v>
      </c>
      <c r="F168" s="289">
        <f>142+142</f>
        <v>284</v>
      </c>
      <c r="G168" s="290">
        <f t="shared" si="30"/>
        <v>429</v>
      </c>
      <c r="H168" s="388">
        <f t="shared" si="29"/>
        <v>429</v>
      </c>
      <c r="I168" s="292"/>
      <c r="J168" s="292"/>
      <c r="K168" s="289"/>
      <c r="L168" s="289"/>
      <c r="M168" s="293">
        <v>429</v>
      </c>
      <c r="N168" s="290"/>
      <c r="O168" s="294" t="s">
        <v>30</v>
      </c>
    </row>
    <row r="169" spans="1:15" s="163" customFormat="1" ht="51" customHeight="1">
      <c r="A169" s="284">
        <v>13</v>
      </c>
      <c r="B169" s="285" t="s">
        <v>198</v>
      </c>
      <c r="C169" s="286" t="s">
        <v>196</v>
      </c>
      <c r="D169" s="287">
        <v>55</v>
      </c>
      <c r="E169" s="288">
        <f aca="true" t="shared" si="31" ref="E169:E174">D169</f>
        <v>55</v>
      </c>
      <c r="F169" s="289">
        <v>0</v>
      </c>
      <c r="G169" s="290">
        <f t="shared" si="30"/>
        <v>55</v>
      </c>
      <c r="H169" s="388">
        <f aca="true" t="shared" si="32" ref="H169:H174">SUM(K169:N169)</f>
        <v>55</v>
      </c>
      <c r="I169" s="292"/>
      <c r="J169" s="292"/>
      <c r="K169" s="289"/>
      <c r="L169" s="289"/>
      <c r="M169" s="293">
        <v>55</v>
      </c>
      <c r="N169" s="290"/>
      <c r="O169" s="294" t="s">
        <v>30</v>
      </c>
    </row>
    <row r="170" spans="1:15" s="163" customFormat="1" ht="51" customHeight="1">
      <c r="A170" s="284">
        <v>14</v>
      </c>
      <c r="B170" s="285" t="s">
        <v>199</v>
      </c>
      <c r="C170" s="286" t="s">
        <v>196</v>
      </c>
      <c r="D170" s="287">
        <v>31</v>
      </c>
      <c r="E170" s="288">
        <f t="shared" si="31"/>
        <v>31</v>
      </c>
      <c r="F170" s="289">
        <v>0</v>
      </c>
      <c r="G170" s="290">
        <f t="shared" si="30"/>
        <v>31</v>
      </c>
      <c r="H170" s="388">
        <f t="shared" si="32"/>
        <v>31</v>
      </c>
      <c r="I170" s="292"/>
      <c r="J170" s="292"/>
      <c r="K170" s="289"/>
      <c r="L170" s="289"/>
      <c r="M170" s="293">
        <v>31</v>
      </c>
      <c r="N170" s="290"/>
      <c r="O170" s="294" t="s">
        <v>30</v>
      </c>
    </row>
    <row r="171" spans="1:15" s="163" customFormat="1" ht="51" customHeight="1">
      <c r="A171" s="284">
        <v>15</v>
      </c>
      <c r="B171" s="285" t="s">
        <v>200</v>
      </c>
      <c r="C171" s="286" t="s">
        <v>196</v>
      </c>
      <c r="D171" s="287">
        <v>58</v>
      </c>
      <c r="E171" s="288">
        <f t="shared" si="31"/>
        <v>58</v>
      </c>
      <c r="F171" s="289">
        <v>0</v>
      </c>
      <c r="G171" s="290">
        <f t="shared" si="30"/>
        <v>58</v>
      </c>
      <c r="H171" s="388">
        <f t="shared" si="32"/>
        <v>58</v>
      </c>
      <c r="I171" s="292"/>
      <c r="J171" s="292"/>
      <c r="K171" s="289"/>
      <c r="L171" s="289"/>
      <c r="M171" s="293">
        <v>58</v>
      </c>
      <c r="N171" s="290"/>
      <c r="O171" s="294" t="s">
        <v>30</v>
      </c>
    </row>
    <row r="172" spans="1:15" s="163" customFormat="1" ht="51.75" customHeight="1">
      <c r="A172" s="284">
        <v>16</v>
      </c>
      <c r="B172" s="285" t="s">
        <v>201</v>
      </c>
      <c r="C172" s="286" t="s">
        <v>196</v>
      </c>
      <c r="D172" s="287">
        <v>66</v>
      </c>
      <c r="E172" s="288">
        <f t="shared" si="31"/>
        <v>66</v>
      </c>
      <c r="F172" s="289">
        <v>0</v>
      </c>
      <c r="G172" s="290">
        <f t="shared" si="30"/>
        <v>66</v>
      </c>
      <c r="H172" s="388">
        <f t="shared" si="32"/>
        <v>66</v>
      </c>
      <c r="I172" s="292"/>
      <c r="J172" s="292"/>
      <c r="K172" s="289"/>
      <c r="L172" s="289"/>
      <c r="M172" s="293">
        <v>66</v>
      </c>
      <c r="N172" s="290"/>
      <c r="O172" s="294" t="s">
        <v>30</v>
      </c>
    </row>
    <row r="173" spans="1:15" s="163" customFormat="1" ht="52.5" customHeight="1">
      <c r="A173" s="284">
        <v>17</v>
      </c>
      <c r="B173" s="285" t="s">
        <v>202</v>
      </c>
      <c r="C173" s="286" t="s">
        <v>196</v>
      </c>
      <c r="D173" s="287">
        <v>102</v>
      </c>
      <c r="E173" s="288">
        <f t="shared" si="31"/>
        <v>102</v>
      </c>
      <c r="F173" s="289">
        <v>0</v>
      </c>
      <c r="G173" s="290">
        <f t="shared" si="30"/>
        <v>102</v>
      </c>
      <c r="H173" s="388">
        <f t="shared" si="32"/>
        <v>102</v>
      </c>
      <c r="I173" s="292"/>
      <c r="J173" s="292"/>
      <c r="K173" s="289"/>
      <c r="L173" s="289"/>
      <c r="M173" s="293">
        <v>102</v>
      </c>
      <c r="N173" s="290"/>
      <c r="O173" s="294" t="s">
        <v>30</v>
      </c>
    </row>
    <row r="174" spans="1:15" s="163" customFormat="1" ht="51.75" customHeight="1">
      <c r="A174" s="284">
        <v>18</v>
      </c>
      <c r="B174" s="285" t="s">
        <v>203</v>
      </c>
      <c r="C174" s="286" t="s">
        <v>196</v>
      </c>
      <c r="D174" s="287">
        <v>92</v>
      </c>
      <c r="E174" s="288">
        <f t="shared" si="31"/>
        <v>92</v>
      </c>
      <c r="F174" s="289">
        <v>0</v>
      </c>
      <c r="G174" s="290">
        <f t="shared" si="30"/>
        <v>92</v>
      </c>
      <c r="H174" s="388">
        <f t="shared" si="32"/>
        <v>92</v>
      </c>
      <c r="I174" s="292"/>
      <c r="J174" s="292"/>
      <c r="K174" s="289"/>
      <c r="L174" s="289"/>
      <c r="M174" s="293">
        <v>92</v>
      </c>
      <c r="N174" s="290"/>
      <c r="O174" s="294" t="s">
        <v>30</v>
      </c>
    </row>
    <row r="175" spans="1:15" s="163" customFormat="1" ht="72.75" customHeight="1">
      <c r="A175" s="284">
        <v>19</v>
      </c>
      <c r="B175" s="285" t="s">
        <v>545</v>
      </c>
      <c r="C175" s="286" t="s">
        <v>196</v>
      </c>
      <c r="D175" s="287">
        <f>10+10</f>
        <v>20</v>
      </c>
      <c r="E175" s="288">
        <f aca="true" t="shared" si="33" ref="E175:E180">D175</f>
        <v>20</v>
      </c>
      <c r="F175" s="289">
        <v>10</v>
      </c>
      <c r="G175" s="290">
        <f t="shared" si="30"/>
        <v>10</v>
      </c>
      <c r="H175" s="388">
        <f aca="true" t="shared" si="34" ref="H175:H180">SUM(K175:N175)</f>
        <v>10</v>
      </c>
      <c r="I175" s="292"/>
      <c r="J175" s="292"/>
      <c r="K175" s="289"/>
      <c r="L175" s="289"/>
      <c r="M175" s="293">
        <v>10</v>
      </c>
      <c r="N175" s="290"/>
      <c r="O175" s="294" t="s">
        <v>30</v>
      </c>
    </row>
    <row r="176" spans="1:15" s="163" customFormat="1" ht="54.75" customHeight="1">
      <c r="A176" s="284">
        <v>20</v>
      </c>
      <c r="B176" s="285" t="s">
        <v>258</v>
      </c>
      <c r="C176" s="286" t="s">
        <v>196</v>
      </c>
      <c r="D176" s="287">
        <f>100-1-37-60</f>
        <v>2</v>
      </c>
      <c r="E176" s="288">
        <f t="shared" si="33"/>
        <v>2</v>
      </c>
      <c r="F176" s="289">
        <v>0</v>
      </c>
      <c r="G176" s="290">
        <f t="shared" si="30"/>
        <v>2</v>
      </c>
      <c r="H176" s="388">
        <f t="shared" si="34"/>
        <v>2</v>
      </c>
      <c r="I176" s="292"/>
      <c r="J176" s="292"/>
      <c r="K176" s="289"/>
      <c r="L176" s="289"/>
      <c r="M176" s="293">
        <f>100-1-37-60</f>
        <v>2</v>
      </c>
      <c r="N176" s="290"/>
      <c r="O176" s="294" t="s">
        <v>30</v>
      </c>
    </row>
    <row r="177" spans="1:15" s="163" customFormat="1" ht="42">
      <c r="A177" s="284">
        <v>21</v>
      </c>
      <c r="B177" s="285" t="s">
        <v>204</v>
      </c>
      <c r="C177" s="286" t="s">
        <v>196</v>
      </c>
      <c r="D177" s="287">
        <v>95</v>
      </c>
      <c r="E177" s="288">
        <f t="shared" si="33"/>
        <v>95</v>
      </c>
      <c r="F177" s="289">
        <v>0</v>
      </c>
      <c r="G177" s="290">
        <f t="shared" si="30"/>
        <v>95</v>
      </c>
      <c r="H177" s="388">
        <f t="shared" si="34"/>
        <v>95</v>
      </c>
      <c r="I177" s="292"/>
      <c r="J177" s="292"/>
      <c r="K177" s="289"/>
      <c r="L177" s="289"/>
      <c r="M177" s="293">
        <v>95</v>
      </c>
      <c r="N177" s="290"/>
      <c r="O177" s="294" t="s">
        <v>30</v>
      </c>
    </row>
    <row r="178" spans="1:15" s="163" customFormat="1" ht="54.75" customHeight="1">
      <c r="A178" s="284">
        <v>22</v>
      </c>
      <c r="B178" s="285" t="s">
        <v>205</v>
      </c>
      <c r="C178" s="286" t="s">
        <v>196</v>
      </c>
      <c r="D178" s="287">
        <v>76</v>
      </c>
      <c r="E178" s="288">
        <f>D178</f>
        <v>76</v>
      </c>
      <c r="F178" s="289">
        <v>0</v>
      </c>
      <c r="G178" s="290">
        <f t="shared" si="30"/>
        <v>76</v>
      </c>
      <c r="H178" s="388">
        <f t="shared" si="34"/>
        <v>76</v>
      </c>
      <c r="I178" s="292"/>
      <c r="J178" s="292"/>
      <c r="K178" s="289"/>
      <c r="L178" s="289"/>
      <c r="M178" s="293">
        <v>76</v>
      </c>
      <c r="N178" s="290"/>
      <c r="O178" s="294" t="s">
        <v>30</v>
      </c>
    </row>
    <row r="179" spans="1:15" s="163" customFormat="1" ht="54.75" customHeight="1">
      <c r="A179" s="284">
        <v>23</v>
      </c>
      <c r="B179" s="285" t="s">
        <v>206</v>
      </c>
      <c r="C179" s="286" t="s">
        <v>196</v>
      </c>
      <c r="D179" s="287">
        <v>90</v>
      </c>
      <c r="E179" s="288">
        <f t="shared" si="33"/>
        <v>90</v>
      </c>
      <c r="F179" s="289">
        <v>0</v>
      </c>
      <c r="G179" s="290">
        <f t="shared" si="30"/>
        <v>90</v>
      </c>
      <c r="H179" s="388">
        <f t="shared" si="34"/>
        <v>90</v>
      </c>
      <c r="I179" s="292"/>
      <c r="J179" s="292"/>
      <c r="K179" s="289"/>
      <c r="L179" s="289"/>
      <c r="M179" s="293">
        <v>90</v>
      </c>
      <c r="N179" s="290"/>
      <c r="O179" s="294" t="s">
        <v>30</v>
      </c>
    </row>
    <row r="180" spans="1:15" s="163" customFormat="1" ht="70.5" customHeight="1">
      <c r="A180" s="284">
        <v>24</v>
      </c>
      <c r="B180" s="285" t="s">
        <v>546</v>
      </c>
      <c r="C180" s="286" t="s">
        <v>196</v>
      </c>
      <c r="D180" s="287">
        <v>211</v>
      </c>
      <c r="E180" s="288">
        <f t="shared" si="33"/>
        <v>211</v>
      </c>
      <c r="F180" s="289">
        <v>0</v>
      </c>
      <c r="G180" s="290">
        <f t="shared" si="30"/>
        <v>211</v>
      </c>
      <c r="H180" s="388">
        <f t="shared" si="34"/>
        <v>211</v>
      </c>
      <c r="I180" s="292"/>
      <c r="J180" s="292"/>
      <c r="K180" s="289"/>
      <c r="L180" s="289"/>
      <c r="M180" s="293">
        <v>211</v>
      </c>
      <c r="N180" s="290"/>
      <c r="O180" s="294" t="s">
        <v>30</v>
      </c>
    </row>
    <row r="181" spans="1:15" s="163" customFormat="1" ht="70.5" customHeight="1">
      <c r="A181" s="284">
        <v>25</v>
      </c>
      <c r="B181" s="285" t="s">
        <v>260</v>
      </c>
      <c r="C181" s="286" t="s">
        <v>196</v>
      </c>
      <c r="D181" s="287">
        <f>116+12</f>
        <v>128</v>
      </c>
      <c r="E181" s="288">
        <f aca="true" t="shared" si="35" ref="E181:E190">D181</f>
        <v>128</v>
      </c>
      <c r="F181" s="289">
        <v>12</v>
      </c>
      <c r="G181" s="290">
        <f t="shared" si="30"/>
        <v>116</v>
      </c>
      <c r="H181" s="388">
        <f aca="true" t="shared" si="36" ref="H181:H190">SUM(K181:N181)</f>
        <v>116</v>
      </c>
      <c r="I181" s="292"/>
      <c r="J181" s="292"/>
      <c r="K181" s="289"/>
      <c r="L181" s="289">
        <v>0</v>
      </c>
      <c r="M181" s="293">
        <v>116</v>
      </c>
      <c r="N181" s="290"/>
      <c r="O181" s="294" t="s">
        <v>30</v>
      </c>
    </row>
    <row r="182" spans="1:15" s="163" customFormat="1" ht="70.5" customHeight="1">
      <c r="A182" s="284">
        <v>26</v>
      </c>
      <c r="B182" s="285" t="s">
        <v>279</v>
      </c>
      <c r="C182" s="286" t="s">
        <v>196</v>
      </c>
      <c r="D182" s="287">
        <v>70</v>
      </c>
      <c r="E182" s="288">
        <f t="shared" si="35"/>
        <v>70</v>
      </c>
      <c r="F182" s="289">
        <v>0</v>
      </c>
      <c r="G182" s="290">
        <f t="shared" si="30"/>
        <v>70</v>
      </c>
      <c r="H182" s="388">
        <f t="shared" si="36"/>
        <v>70</v>
      </c>
      <c r="I182" s="292"/>
      <c r="J182" s="292"/>
      <c r="K182" s="289"/>
      <c r="L182" s="289">
        <v>0</v>
      </c>
      <c r="M182" s="293">
        <f>153-83</f>
        <v>70</v>
      </c>
      <c r="N182" s="290"/>
      <c r="O182" s="294" t="s">
        <v>30</v>
      </c>
    </row>
    <row r="183" spans="1:15" s="163" customFormat="1" ht="70.5" customHeight="1">
      <c r="A183" s="284">
        <v>27</v>
      </c>
      <c r="B183" s="330" t="s">
        <v>547</v>
      </c>
      <c r="C183" s="286" t="s">
        <v>196</v>
      </c>
      <c r="D183" s="287">
        <v>1</v>
      </c>
      <c r="E183" s="288">
        <f t="shared" si="35"/>
        <v>1</v>
      </c>
      <c r="F183" s="289">
        <v>0</v>
      </c>
      <c r="G183" s="290">
        <f t="shared" si="30"/>
        <v>1</v>
      </c>
      <c r="H183" s="388">
        <f t="shared" si="36"/>
        <v>1</v>
      </c>
      <c r="I183" s="292"/>
      <c r="J183" s="292"/>
      <c r="K183" s="289"/>
      <c r="L183" s="289">
        <v>0</v>
      </c>
      <c r="M183" s="293">
        <v>1</v>
      </c>
      <c r="N183" s="290"/>
      <c r="O183" s="294" t="s">
        <v>30</v>
      </c>
    </row>
    <row r="184" spans="1:15" s="163" customFormat="1" ht="70.5" customHeight="1">
      <c r="A184" s="284">
        <v>28</v>
      </c>
      <c r="B184" s="330" t="s">
        <v>327</v>
      </c>
      <c r="C184" s="286" t="s">
        <v>196</v>
      </c>
      <c r="D184" s="287">
        <v>1</v>
      </c>
      <c r="E184" s="288">
        <f t="shared" si="35"/>
        <v>1</v>
      </c>
      <c r="F184" s="289">
        <v>0</v>
      </c>
      <c r="G184" s="290">
        <f t="shared" si="30"/>
        <v>1</v>
      </c>
      <c r="H184" s="388">
        <f t="shared" si="36"/>
        <v>1</v>
      </c>
      <c r="I184" s="292"/>
      <c r="J184" s="292"/>
      <c r="K184" s="289"/>
      <c r="L184" s="289">
        <v>0</v>
      </c>
      <c r="M184" s="293">
        <v>1</v>
      </c>
      <c r="N184" s="290"/>
      <c r="O184" s="294" t="s">
        <v>30</v>
      </c>
    </row>
    <row r="185" spans="1:15" s="163" customFormat="1" ht="70.5" customHeight="1">
      <c r="A185" s="284">
        <v>29</v>
      </c>
      <c r="B185" s="330" t="s">
        <v>340</v>
      </c>
      <c r="C185" s="286" t="s">
        <v>196</v>
      </c>
      <c r="D185" s="287">
        <f>40+68</f>
        <v>108</v>
      </c>
      <c r="E185" s="288">
        <f t="shared" si="35"/>
        <v>108</v>
      </c>
      <c r="F185" s="289">
        <v>40</v>
      </c>
      <c r="G185" s="290">
        <f t="shared" si="30"/>
        <v>68</v>
      </c>
      <c r="H185" s="388">
        <f t="shared" si="36"/>
        <v>68</v>
      </c>
      <c r="I185" s="292"/>
      <c r="J185" s="292"/>
      <c r="K185" s="289"/>
      <c r="L185" s="289">
        <v>0</v>
      </c>
      <c r="M185" s="293">
        <v>68</v>
      </c>
      <c r="N185" s="290"/>
      <c r="O185" s="294" t="s">
        <v>30</v>
      </c>
    </row>
    <row r="186" spans="1:15" s="163" customFormat="1" ht="70.5" customHeight="1">
      <c r="A186" s="284">
        <v>30</v>
      </c>
      <c r="B186" s="330" t="s">
        <v>548</v>
      </c>
      <c r="C186" s="286" t="s">
        <v>196</v>
      </c>
      <c r="D186" s="287">
        <v>1</v>
      </c>
      <c r="E186" s="288">
        <f t="shared" si="35"/>
        <v>1</v>
      </c>
      <c r="F186" s="289">
        <v>0</v>
      </c>
      <c r="G186" s="290">
        <f t="shared" si="30"/>
        <v>1</v>
      </c>
      <c r="H186" s="388">
        <f t="shared" si="36"/>
        <v>1</v>
      </c>
      <c r="I186" s="292"/>
      <c r="J186" s="292"/>
      <c r="K186" s="289"/>
      <c r="L186" s="289">
        <v>0</v>
      </c>
      <c r="M186" s="293">
        <v>1</v>
      </c>
      <c r="N186" s="290"/>
      <c r="O186" s="294" t="s">
        <v>30</v>
      </c>
    </row>
    <row r="187" spans="1:15" s="163" customFormat="1" ht="70.5" customHeight="1">
      <c r="A187" s="284">
        <v>31</v>
      </c>
      <c r="B187" s="285" t="s">
        <v>549</v>
      </c>
      <c r="C187" s="286" t="s">
        <v>196</v>
      </c>
      <c r="D187" s="287">
        <f>158+321</f>
        <v>479</v>
      </c>
      <c r="E187" s="288">
        <f t="shared" si="35"/>
        <v>479</v>
      </c>
      <c r="F187" s="289">
        <v>158</v>
      </c>
      <c r="G187" s="290">
        <f t="shared" si="30"/>
        <v>321</v>
      </c>
      <c r="H187" s="388">
        <f t="shared" si="36"/>
        <v>321</v>
      </c>
      <c r="I187" s="292"/>
      <c r="J187" s="292"/>
      <c r="K187" s="289"/>
      <c r="L187" s="289">
        <v>0</v>
      </c>
      <c r="M187" s="293">
        <v>321</v>
      </c>
      <c r="N187" s="290"/>
      <c r="O187" s="294" t="s">
        <v>30</v>
      </c>
    </row>
    <row r="188" spans="1:15" s="163" customFormat="1" ht="70.5" customHeight="1">
      <c r="A188" s="284">
        <v>32</v>
      </c>
      <c r="B188" s="285" t="s">
        <v>478</v>
      </c>
      <c r="C188" s="286" t="s">
        <v>196</v>
      </c>
      <c r="D188" s="287">
        <v>1</v>
      </c>
      <c r="E188" s="288">
        <f t="shared" si="35"/>
        <v>1</v>
      </c>
      <c r="F188" s="289">
        <v>0</v>
      </c>
      <c r="G188" s="290">
        <f>D188-F188</f>
        <v>1</v>
      </c>
      <c r="H188" s="388">
        <f t="shared" si="36"/>
        <v>1</v>
      </c>
      <c r="I188" s="292"/>
      <c r="J188" s="292"/>
      <c r="K188" s="289"/>
      <c r="L188" s="289">
        <v>0</v>
      </c>
      <c r="M188" s="293">
        <v>1</v>
      </c>
      <c r="N188" s="290"/>
      <c r="O188" s="294" t="s">
        <v>30</v>
      </c>
    </row>
    <row r="189" spans="1:15" s="163" customFormat="1" ht="78.75" customHeight="1">
      <c r="A189" s="284">
        <v>33</v>
      </c>
      <c r="B189" s="285" t="s">
        <v>141</v>
      </c>
      <c r="C189" s="286" t="s">
        <v>211</v>
      </c>
      <c r="D189" s="287">
        <f>118+320</f>
        <v>438</v>
      </c>
      <c r="E189" s="288">
        <f t="shared" si="35"/>
        <v>438</v>
      </c>
      <c r="F189" s="289">
        <v>118</v>
      </c>
      <c r="G189" s="290">
        <f t="shared" si="30"/>
        <v>320</v>
      </c>
      <c r="H189" s="388">
        <f t="shared" si="36"/>
        <v>320</v>
      </c>
      <c r="I189" s="292"/>
      <c r="J189" s="292"/>
      <c r="K189" s="289"/>
      <c r="L189" s="289"/>
      <c r="M189" s="293">
        <v>320</v>
      </c>
      <c r="N189" s="290"/>
      <c r="O189" s="294" t="s">
        <v>30</v>
      </c>
    </row>
    <row r="190" spans="1:15" s="163" customFormat="1" ht="57" customHeight="1">
      <c r="A190" s="284">
        <v>34</v>
      </c>
      <c r="B190" s="285" t="s">
        <v>163</v>
      </c>
      <c r="C190" s="286" t="s">
        <v>211</v>
      </c>
      <c r="D190" s="287">
        <v>37</v>
      </c>
      <c r="E190" s="288">
        <f t="shared" si="35"/>
        <v>37</v>
      </c>
      <c r="F190" s="289">
        <v>0</v>
      </c>
      <c r="G190" s="290">
        <f>D190-F190</f>
        <v>37</v>
      </c>
      <c r="H190" s="388">
        <f t="shared" si="36"/>
        <v>37</v>
      </c>
      <c r="I190" s="292"/>
      <c r="J190" s="292"/>
      <c r="K190" s="289"/>
      <c r="L190" s="289"/>
      <c r="M190" s="293">
        <v>37</v>
      </c>
      <c r="N190" s="290"/>
      <c r="O190" s="294" t="s">
        <v>30</v>
      </c>
    </row>
    <row r="191" spans="1:15" s="163" customFormat="1" ht="57" customHeight="1">
      <c r="A191" s="284">
        <v>35</v>
      </c>
      <c r="B191" s="285" t="s">
        <v>520</v>
      </c>
      <c r="C191" s="286" t="s">
        <v>211</v>
      </c>
      <c r="D191" s="287">
        <v>500</v>
      </c>
      <c r="E191" s="288">
        <f aca="true" t="shared" si="37" ref="E191:E203">D191</f>
        <v>500</v>
      </c>
      <c r="F191" s="289">
        <v>0</v>
      </c>
      <c r="G191" s="290">
        <f t="shared" si="30"/>
        <v>500</v>
      </c>
      <c r="H191" s="388">
        <f aca="true" t="shared" si="38" ref="H191:H203">SUM(K191:N191)</f>
        <v>500</v>
      </c>
      <c r="I191" s="292"/>
      <c r="J191" s="292"/>
      <c r="K191" s="289"/>
      <c r="L191" s="289"/>
      <c r="M191" s="293">
        <v>500</v>
      </c>
      <c r="N191" s="290"/>
      <c r="O191" s="294" t="s">
        <v>30</v>
      </c>
    </row>
    <row r="192" spans="1:15" s="163" customFormat="1" ht="83.25" customHeight="1">
      <c r="A192" s="284">
        <v>36</v>
      </c>
      <c r="B192" s="285" t="s">
        <v>151</v>
      </c>
      <c r="C192" s="286" t="s">
        <v>211</v>
      </c>
      <c r="D192" s="287">
        <v>158</v>
      </c>
      <c r="E192" s="288">
        <f t="shared" si="37"/>
        <v>158</v>
      </c>
      <c r="F192" s="289">
        <v>0</v>
      </c>
      <c r="G192" s="290">
        <f t="shared" si="30"/>
        <v>158</v>
      </c>
      <c r="H192" s="388">
        <f t="shared" si="38"/>
        <v>158</v>
      </c>
      <c r="I192" s="292"/>
      <c r="J192" s="292"/>
      <c r="K192" s="289"/>
      <c r="L192" s="289">
        <v>0</v>
      </c>
      <c r="M192" s="293">
        <v>158</v>
      </c>
      <c r="N192" s="290"/>
      <c r="O192" s="294" t="s">
        <v>30</v>
      </c>
    </row>
    <row r="193" spans="1:15" s="163" customFormat="1" ht="88.5" customHeight="1">
      <c r="A193" s="284">
        <v>37</v>
      </c>
      <c r="B193" s="285" t="s">
        <v>137</v>
      </c>
      <c r="C193" s="286" t="s">
        <v>211</v>
      </c>
      <c r="D193" s="287">
        <f>123+1</f>
        <v>124</v>
      </c>
      <c r="E193" s="288">
        <f t="shared" si="37"/>
        <v>124</v>
      </c>
      <c r="F193" s="289">
        <f>108+15</f>
        <v>123</v>
      </c>
      <c r="G193" s="290">
        <f t="shared" si="30"/>
        <v>1</v>
      </c>
      <c r="H193" s="388">
        <f t="shared" si="38"/>
        <v>1</v>
      </c>
      <c r="I193" s="292"/>
      <c r="J193" s="292"/>
      <c r="K193" s="289"/>
      <c r="L193" s="289"/>
      <c r="M193" s="293">
        <v>1</v>
      </c>
      <c r="N193" s="290"/>
      <c r="O193" s="294" t="s">
        <v>30</v>
      </c>
    </row>
    <row r="194" spans="1:16" s="163" customFormat="1" ht="108">
      <c r="A194" s="284">
        <v>38</v>
      </c>
      <c r="B194" s="285" t="s">
        <v>210</v>
      </c>
      <c r="C194" s="286" t="s">
        <v>211</v>
      </c>
      <c r="D194" s="287">
        <f>35+116</f>
        <v>151</v>
      </c>
      <c r="E194" s="288">
        <f>D194</f>
        <v>151</v>
      </c>
      <c r="F194" s="289">
        <v>35</v>
      </c>
      <c r="G194" s="290">
        <f t="shared" si="30"/>
        <v>116</v>
      </c>
      <c r="H194" s="388">
        <f>SUM(K194:N194)</f>
        <v>116</v>
      </c>
      <c r="I194" s="292"/>
      <c r="J194" s="292"/>
      <c r="K194" s="289"/>
      <c r="L194" s="289"/>
      <c r="M194" s="293">
        <v>116</v>
      </c>
      <c r="N194" s="290"/>
      <c r="O194" s="294" t="s">
        <v>30</v>
      </c>
      <c r="P194" s="163" t="s">
        <v>522</v>
      </c>
    </row>
    <row r="195" spans="1:16" s="163" customFormat="1" ht="138" customHeight="1">
      <c r="A195" s="284">
        <v>39</v>
      </c>
      <c r="B195" s="285" t="s">
        <v>523</v>
      </c>
      <c r="C195" s="286" t="s">
        <v>211</v>
      </c>
      <c r="D195" s="287">
        <v>1</v>
      </c>
      <c r="E195" s="288">
        <f t="shared" si="37"/>
        <v>1</v>
      </c>
      <c r="F195" s="289">
        <v>0</v>
      </c>
      <c r="G195" s="290">
        <f aca="true" t="shared" si="39" ref="G195:G204">D195-F195</f>
        <v>1</v>
      </c>
      <c r="H195" s="388">
        <f t="shared" si="38"/>
        <v>1</v>
      </c>
      <c r="I195" s="292"/>
      <c r="J195" s="292"/>
      <c r="K195" s="289"/>
      <c r="L195" s="289">
        <v>0</v>
      </c>
      <c r="M195" s="293">
        <v>1</v>
      </c>
      <c r="N195" s="290"/>
      <c r="O195" s="294" t="s">
        <v>30</v>
      </c>
      <c r="P195" s="283" t="s">
        <v>521</v>
      </c>
    </row>
    <row r="196" spans="1:15" s="163" customFormat="1" ht="55.5">
      <c r="A196" s="284">
        <v>40</v>
      </c>
      <c r="B196" s="330" t="s">
        <v>365</v>
      </c>
      <c r="C196" s="286" t="s">
        <v>211</v>
      </c>
      <c r="D196" s="287">
        <v>83</v>
      </c>
      <c r="E196" s="288">
        <f aca="true" t="shared" si="40" ref="E196:E201">D196</f>
        <v>83</v>
      </c>
      <c r="F196" s="289">
        <v>0</v>
      </c>
      <c r="G196" s="290">
        <f t="shared" si="39"/>
        <v>83</v>
      </c>
      <c r="H196" s="388">
        <f aca="true" t="shared" si="41" ref="H196:H201">SUM(K196:N196)</f>
        <v>83</v>
      </c>
      <c r="I196" s="292"/>
      <c r="J196" s="292"/>
      <c r="K196" s="289"/>
      <c r="L196" s="289">
        <v>0</v>
      </c>
      <c r="M196" s="293">
        <v>83</v>
      </c>
      <c r="N196" s="290"/>
      <c r="O196" s="294" t="s">
        <v>30</v>
      </c>
    </row>
    <row r="197" spans="1:15" s="163" customFormat="1" ht="42">
      <c r="A197" s="284">
        <v>41</v>
      </c>
      <c r="B197" s="330" t="s">
        <v>381</v>
      </c>
      <c r="C197" s="286" t="s">
        <v>211</v>
      </c>
      <c r="D197" s="287">
        <v>320</v>
      </c>
      <c r="E197" s="288">
        <f t="shared" si="40"/>
        <v>320</v>
      </c>
      <c r="F197" s="289">
        <v>0</v>
      </c>
      <c r="G197" s="290">
        <f t="shared" si="39"/>
        <v>320</v>
      </c>
      <c r="H197" s="388">
        <f t="shared" si="41"/>
        <v>320</v>
      </c>
      <c r="I197" s="292"/>
      <c r="J197" s="292"/>
      <c r="K197" s="289"/>
      <c r="L197" s="289">
        <v>0</v>
      </c>
      <c r="M197" s="293">
        <v>320</v>
      </c>
      <c r="N197" s="290"/>
      <c r="O197" s="294" t="s">
        <v>30</v>
      </c>
    </row>
    <row r="198" spans="1:15" s="163" customFormat="1" ht="42">
      <c r="A198" s="284">
        <v>42</v>
      </c>
      <c r="B198" s="330" t="s">
        <v>385</v>
      </c>
      <c r="C198" s="286" t="s">
        <v>211</v>
      </c>
      <c r="D198" s="287">
        <v>500</v>
      </c>
      <c r="E198" s="288">
        <f t="shared" si="40"/>
        <v>500</v>
      </c>
      <c r="F198" s="289">
        <v>0</v>
      </c>
      <c r="G198" s="290">
        <f t="shared" si="39"/>
        <v>500</v>
      </c>
      <c r="H198" s="388">
        <f t="shared" si="41"/>
        <v>500</v>
      </c>
      <c r="I198" s="292"/>
      <c r="J198" s="292"/>
      <c r="K198" s="289"/>
      <c r="L198" s="289">
        <v>0</v>
      </c>
      <c r="M198" s="293">
        <v>500</v>
      </c>
      <c r="N198" s="290"/>
      <c r="O198" s="294" t="s">
        <v>30</v>
      </c>
    </row>
    <row r="199" spans="1:15" s="163" customFormat="1" ht="42">
      <c r="A199" s="284">
        <v>43</v>
      </c>
      <c r="B199" s="330" t="s">
        <v>386</v>
      </c>
      <c r="C199" s="286" t="s">
        <v>211</v>
      </c>
      <c r="D199" s="287">
        <v>500</v>
      </c>
      <c r="E199" s="288">
        <f t="shared" si="40"/>
        <v>500</v>
      </c>
      <c r="F199" s="289">
        <v>0</v>
      </c>
      <c r="G199" s="290">
        <f t="shared" si="39"/>
        <v>500</v>
      </c>
      <c r="H199" s="388">
        <f t="shared" si="41"/>
        <v>500</v>
      </c>
      <c r="I199" s="292"/>
      <c r="J199" s="292"/>
      <c r="K199" s="289"/>
      <c r="L199" s="289">
        <v>0</v>
      </c>
      <c r="M199" s="293">
        <v>500</v>
      </c>
      <c r="N199" s="290"/>
      <c r="O199" s="294" t="s">
        <v>30</v>
      </c>
    </row>
    <row r="200" spans="1:15" s="163" customFormat="1" ht="42">
      <c r="A200" s="284">
        <v>44</v>
      </c>
      <c r="B200" s="330" t="s">
        <v>510</v>
      </c>
      <c r="C200" s="286" t="s">
        <v>211</v>
      </c>
      <c r="D200" s="287">
        <v>325</v>
      </c>
      <c r="E200" s="288">
        <f t="shared" si="40"/>
        <v>325</v>
      </c>
      <c r="F200" s="289">
        <v>0</v>
      </c>
      <c r="G200" s="290">
        <f t="shared" si="39"/>
        <v>325</v>
      </c>
      <c r="H200" s="388">
        <f t="shared" si="41"/>
        <v>325</v>
      </c>
      <c r="I200" s="292"/>
      <c r="J200" s="292"/>
      <c r="K200" s="289"/>
      <c r="L200" s="289">
        <v>0</v>
      </c>
      <c r="M200" s="293">
        <v>325</v>
      </c>
      <c r="N200" s="290"/>
      <c r="O200" s="294" t="s">
        <v>30</v>
      </c>
    </row>
    <row r="201" spans="1:15" s="163" customFormat="1" ht="55.5">
      <c r="A201" s="284">
        <v>45</v>
      </c>
      <c r="B201" s="330" t="s">
        <v>387</v>
      </c>
      <c r="C201" s="286" t="s">
        <v>211</v>
      </c>
      <c r="D201" s="287">
        <v>320</v>
      </c>
      <c r="E201" s="288">
        <f t="shared" si="40"/>
        <v>320</v>
      </c>
      <c r="F201" s="289">
        <v>0</v>
      </c>
      <c r="G201" s="290">
        <f t="shared" si="39"/>
        <v>320</v>
      </c>
      <c r="H201" s="388">
        <f t="shared" si="41"/>
        <v>320</v>
      </c>
      <c r="I201" s="292"/>
      <c r="J201" s="292"/>
      <c r="K201" s="289"/>
      <c r="L201" s="289">
        <v>0</v>
      </c>
      <c r="M201" s="293">
        <v>320</v>
      </c>
      <c r="N201" s="290"/>
      <c r="O201" s="294" t="s">
        <v>30</v>
      </c>
    </row>
    <row r="202" spans="1:15" s="163" customFormat="1" ht="72" customHeight="1">
      <c r="A202" s="284">
        <v>46</v>
      </c>
      <c r="B202" s="285" t="s">
        <v>463</v>
      </c>
      <c r="C202" s="286" t="s">
        <v>464</v>
      </c>
      <c r="D202" s="287">
        <v>183</v>
      </c>
      <c r="E202" s="288">
        <f t="shared" si="37"/>
        <v>183</v>
      </c>
      <c r="F202" s="289">
        <v>0</v>
      </c>
      <c r="G202" s="290">
        <f t="shared" si="39"/>
        <v>183</v>
      </c>
      <c r="H202" s="388">
        <f t="shared" si="38"/>
        <v>183</v>
      </c>
      <c r="I202" s="292"/>
      <c r="J202" s="292"/>
      <c r="K202" s="289"/>
      <c r="L202" s="289">
        <v>183</v>
      </c>
      <c r="M202" s="293">
        <v>0</v>
      </c>
      <c r="N202" s="290"/>
      <c r="O202" s="294" t="s">
        <v>30</v>
      </c>
    </row>
    <row r="203" spans="1:15" s="163" customFormat="1" ht="81">
      <c r="A203" s="284">
        <v>47</v>
      </c>
      <c r="B203" s="285" t="s">
        <v>466</v>
      </c>
      <c r="C203" s="286" t="s">
        <v>465</v>
      </c>
      <c r="D203" s="287">
        <v>3850</v>
      </c>
      <c r="E203" s="288">
        <f t="shared" si="37"/>
        <v>3850</v>
      </c>
      <c r="F203" s="289">
        <v>0</v>
      </c>
      <c r="G203" s="290">
        <f t="shared" si="39"/>
        <v>3850</v>
      </c>
      <c r="H203" s="388">
        <f t="shared" si="38"/>
        <v>3850</v>
      </c>
      <c r="I203" s="292"/>
      <c r="J203" s="292"/>
      <c r="K203" s="289"/>
      <c r="L203" s="289">
        <v>3850</v>
      </c>
      <c r="M203" s="293">
        <v>0</v>
      </c>
      <c r="N203" s="290"/>
      <c r="O203" s="294" t="s">
        <v>30</v>
      </c>
    </row>
    <row r="204" spans="1:15" s="163" customFormat="1" ht="54">
      <c r="A204" s="284">
        <v>48</v>
      </c>
      <c r="B204" s="285" t="s">
        <v>474</v>
      </c>
      <c r="C204" s="286" t="s">
        <v>464</v>
      </c>
      <c r="D204" s="287">
        <v>596</v>
      </c>
      <c r="E204" s="288">
        <f>D204</f>
        <v>596</v>
      </c>
      <c r="F204" s="289">
        <v>0</v>
      </c>
      <c r="G204" s="290">
        <f t="shared" si="39"/>
        <v>596</v>
      </c>
      <c r="H204" s="388">
        <f>SUM(K204:N204)</f>
        <v>596</v>
      </c>
      <c r="I204" s="292"/>
      <c r="J204" s="292"/>
      <c r="K204" s="289"/>
      <c r="L204" s="289">
        <v>596</v>
      </c>
      <c r="M204" s="293">
        <v>0</v>
      </c>
      <c r="N204" s="290"/>
      <c r="O204" s="294" t="s">
        <v>30</v>
      </c>
    </row>
    <row r="205" spans="1:14" ht="43.5" customHeight="1">
      <c r="A205" s="216"/>
      <c r="B205" s="217"/>
      <c r="C205" s="192" t="s">
        <v>18</v>
      </c>
      <c r="D205" s="218">
        <f aca="true" t="shared" si="42" ref="D205:N205">SUM(D157:D204)</f>
        <v>11780</v>
      </c>
      <c r="E205" s="218">
        <f t="shared" si="42"/>
        <v>11780</v>
      </c>
      <c r="F205" s="218">
        <f t="shared" si="42"/>
        <v>1255</v>
      </c>
      <c r="G205" s="218">
        <f t="shared" si="42"/>
        <v>10525</v>
      </c>
      <c r="H205" s="392">
        <f t="shared" si="42"/>
        <v>10525</v>
      </c>
      <c r="I205" s="218">
        <f t="shared" si="42"/>
        <v>0</v>
      </c>
      <c r="J205" s="218">
        <f t="shared" si="42"/>
        <v>0</v>
      </c>
      <c r="K205" s="218">
        <f t="shared" si="42"/>
        <v>0</v>
      </c>
      <c r="L205" s="218">
        <f t="shared" si="42"/>
        <v>4629</v>
      </c>
      <c r="M205" s="218">
        <f t="shared" si="42"/>
        <v>5896</v>
      </c>
      <c r="N205" s="218">
        <f t="shared" si="42"/>
        <v>0</v>
      </c>
    </row>
    <row r="206" spans="1:14" ht="43.5" customHeight="1">
      <c r="A206" s="216"/>
      <c r="B206" s="217"/>
      <c r="C206" s="192"/>
      <c r="D206" s="219"/>
      <c r="E206" s="219"/>
      <c r="F206" s="219"/>
      <c r="G206" s="219"/>
      <c r="H206" s="219"/>
      <c r="I206" s="219"/>
      <c r="J206" s="219"/>
      <c r="K206" s="219"/>
      <c r="L206" s="219"/>
      <c r="M206" s="219"/>
      <c r="N206" s="219"/>
    </row>
    <row r="207" spans="1:14" ht="43.5" customHeight="1">
      <c r="A207" s="216"/>
      <c r="B207" s="217"/>
      <c r="C207" s="192"/>
      <c r="D207" s="219"/>
      <c r="E207" s="219"/>
      <c r="F207" s="219"/>
      <c r="G207" s="219"/>
      <c r="H207" s="219"/>
      <c r="I207" s="219"/>
      <c r="J207" s="219"/>
      <c r="K207" s="219"/>
      <c r="L207" s="219"/>
      <c r="M207" s="219"/>
      <c r="N207" s="219"/>
    </row>
    <row r="208" spans="1:14" ht="33.75" customHeight="1" thickBot="1">
      <c r="A208" s="90" t="s">
        <v>58</v>
      </c>
      <c r="B208" s="94"/>
      <c r="C208" s="91"/>
      <c r="D208" s="92"/>
      <c r="E208" s="92"/>
      <c r="F208" s="13"/>
      <c r="G208" s="13"/>
      <c r="H208" s="13"/>
      <c r="I208" s="13"/>
      <c r="J208" s="13"/>
      <c r="K208" s="13"/>
      <c r="L208" s="89"/>
      <c r="M208" s="13"/>
      <c r="N208" s="93" t="s">
        <v>16</v>
      </c>
    </row>
    <row r="209" spans="1:14" ht="50.25" customHeight="1" thickBot="1">
      <c r="A209" s="224" t="s">
        <v>17</v>
      </c>
      <c r="B209" s="225" t="s">
        <v>19</v>
      </c>
      <c r="C209" s="226" t="s">
        <v>47</v>
      </c>
      <c r="D209" s="225" t="s">
        <v>185</v>
      </c>
      <c r="E209" s="227" t="s">
        <v>44</v>
      </c>
      <c r="F209" s="228" t="s">
        <v>395</v>
      </c>
      <c r="G209" s="228" t="s">
        <v>93</v>
      </c>
      <c r="H209" s="387" t="s">
        <v>396</v>
      </c>
      <c r="I209" s="108" t="s">
        <v>388</v>
      </c>
      <c r="J209" s="109" t="s">
        <v>45</v>
      </c>
      <c r="K209" s="229" t="s">
        <v>392</v>
      </c>
      <c r="L209" s="228" t="s">
        <v>173</v>
      </c>
      <c r="M209" s="228" t="s">
        <v>21</v>
      </c>
      <c r="N209" s="230" t="s">
        <v>31</v>
      </c>
    </row>
    <row r="210" spans="1:15" ht="82.5" customHeight="1">
      <c r="A210" s="334">
        <v>1</v>
      </c>
      <c r="B210" s="296" t="s">
        <v>232</v>
      </c>
      <c r="C210" s="286" t="s">
        <v>219</v>
      </c>
      <c r="D210" s="307">
        <v>50</v>
      </c>
      <c r="E210" s="307">
        <f>D210</f>
        <v>50</v>
      </c>
      <c r="F210" s="308">
        <v>0</v>
      </c>
      <c r="G210" s="342">
        <f>D210-F210</f>
        <v>50</v>
      </c>
      <c r="H210" s="388">
        <f>SUM(K210:N210)</f>
        <v>50</v>
      </c>
      <c r="I210" s="291"/>
      <c r="J210" s="291"/>
      <c r="K210" s="290"/>
      <c r="L210" s="290"/>
      <c r="M210" s="308">
        <v>50</v>
      </c>
      <c r="N210" s="290"/>
      <c r="O210" s="294" t="s">
        <v>30</v>
      </c>
    </row>
    <row r="211" spans="1:15" ht="78" customHeight="1">
      <c r="A211" s="334">
        <v>2</v>
      </c>
      <c r="B211" s="296" t="s">
        <v>274</v>
      </c>
      <c r="C211" s="286" t="s">
        <v>196</v>
      </c>
      <c r="D211" s="319">
        <f>2906+4654</f>
        <v>7560</v>
      </c>
      <c r="E211" s="307">
        <f>D211</f>
        <v>7560</v>
      </c>
      <c r="F211" s="293">
        <f>2326+580</f>
        <v>2906</v>
      </c>
      <c r="G211" s="342">
        <f>D211-F211</f>
        <v>4654</v>
      </c>
      <c r="H211" s="389">
        <f>SUM(K211:N211)</f>
        <v>100</v>
      </c>
      <c r="I211" s="292"/>
      <c r="J211" s="292"/>
      <c r="K211" s="289"/>
      <c r="L211" s="289"/>
      <c r="M211" s="293">
        <v>100</v>
      </c>
      <c r="N211" s="289"/>
      <c r="O211" s="294" t="s">
        <v>30</v>
      </c>
    </row>
    <row r="212" spans="1:15" ht="82.5" customHeight="1">
      <c r="A212" s="334">
        <v>3</v>
      </c>
      <c r="B212" s="296" t="s">
        <v>326</v>
      </c>
      <c r="C212" s="286" t="s">
        <v>211</v>
      </c>
      <c r="D212" s="319">
        <f>16+5000</f>
        <v>5016</v>
      </c>
      <c r="E212" s="307">
        <f>D212</f>
        <v>5016</v>
      </c>
      <c r="F212" s="293">
        <v>16</v>
      </c>
      <c r="G212" s="342">
        <f>D212-F212</f>
        <v>5000</v>
      </c>
      <c r="H212" s="389">
        <f>SUM(K212:N212)</f>
        <v>5000</v>
      </c>
      <c r="I212" s="292"/>
      <c r="J212" s="292"/>
      <c r="K212" s="289"/>
      <c r="L212" s="289"/>
      <c r="M212" s="293">
        <v>5000</v>
      </c>
      <c r="N212" s="289"/>
      <c r="O212" s="294" t="s">
        <v>30</v>
      </c>
    </row>
    <row r="213" spans="1:15" ht="109.5" customHeight="1">
      <c r="A213" s="334">
        <v>4</v>
      </c>
      <c r="B213" s="296" t="s">
        <v>356</v>
      </c>
      <c r="C213" s="286" t="s">
        <v>219</v>
      </c>
      <c r="D213" s="319">
        <v>120</v>
      </c>
      <c r="E213" s="307">
        <f>D213</f>
        <v>120</v>
      </c>
      <c r="F213" s="293">
        <v>0</v>
      </c>
      <c r="G213" s="342">
        <f>D213-F213</f>
        <v>120</v>
      </c>
      <c r="H213" s="389">
        <f>SUM(K213:N213)</f>
        <v>120</v>
      </c>
      <c r="I213" s="292"/>
      <c r="J213" s="292"/>
      <c r="K213" s="289"/>
      <c r="L213" s="289"/>
      <c r="M213" s="293">
        <v>120</v>
      </c>
      <c r="N213" s="289"/>
      <c r="O213" s="294" t="s">
        <v>30</v>
      </c>
    </row>
    <row r="214" spans="1:15" ht="113.25" customHeight="1">
      <c r="A214" s="334">
        <v>5</v>
      </c>
      <c r="B214" s="330" t="s">
        <v>555</v>
      </c>
      <c r="C214" s="286" t="s">
        <v>211</v>
      </c>
      <c r="D214" s="287">
        <v>71</v>
      </c>
      <c r="E214" s="288">
        <f>D214</f>
        <v>71</v>
      </c>
      <c r="F214" s="289">
        <v>0</v>
      </c>
      <c r="G214" s="290">
        <f>D214-F214</f>
        <v>71</v>
      </c>
      <c r="H214" s="388">
        <f>SUM(K214:N214)</f>
        <v>71</v>
      </c>
      <c r="I214" s="292"/>
      <c r="J214" s="292"/>
      <c r="K214" s="289"/>
      <c r="L214" s="289">
        <v>0</v>
      </c>
      <c r="M214" s="293">
        <v>71</v>
      </c>
      <c r="N214" s="290"/>
      <c r="O214" s="294" t="s">
        <v>30</v>
      </c>
    </row>
    <row r="215" spans="1:15" ht="27.75" customHeight="1">
      <c r="A215" s="191"/>
      <c r="B215" s="13" t="s">
        <v>20</v>
      </c>
      <c r="C215" s="192" t="s">
        <v>18</v>
      </c>
      <c r="D215" s="193">
        <f aca="true" t="shared" si="43" ref="D215:N215">SUM(D210:D214)</f>
        <v>12817</v>
      </c>
      <c r="E215" s="193">
        <f t="shared" si="43"/>
        <v>12817</v>
      </c>
      <c r="F215" s="193">
        <f t="shared" si="43"/>
        <v>2922</v>
      </c>
      <c r="G215" s="193">
        <f t="shared" si="43"/>
        <v>9895</v>
      </c>
      <c r="H215" s="389">
        <f t="shared" si="43"/>
        <v>5341</v>
      </c>
      <c r="I215" s="193">
        <f t="shared" si="43"/>
        <v>0</v>
      </c>
      <c r="J215" s="193">
        <f t="shared" si="43"/>
        <v>0</v>
      </c>
      <c r="K215" s="193">
        <f t="shared" si="43"/>
        <v>0</v>
      </c>
      <c r="L215" s="193">
        <f t="shared" si="43"/>
        <v>0</v>
      </c>
      <c r="M215" s="193">
        <f t="shared" si="43"/>
        <v>5341</v>
      </c>
      <c r="N215" s="193">
        <f t="shared" si="43"/>
        <v>0</v>
      </c>
      <c r="O215" s="194"/>
    </row>
    <row r="216" spans="1:15" ht="27.75" customHeight="1">
      <c r="A216" s="191"/>
      <c r="B216" s="13"/>
      <c r="C216" s="192"/>
      <c r="D216" s="14"/>
      <c r="E216" s="14"/>
      <c r="F216" s="14"/>
      <c r="G216" s="14"/>
      <c r="H216" s="409"/>
      <c r="I216" s="14"/>
      <c r="J216" s="14"/>
      <c r="K216" s="14"/>
      <c r="L216" s="14"/>
      <c r="M216" s="14"/>
      <c r="N216" s="14"/>
      <c r="O216" s="194"/>
    </row>
    <row r="217" spans="1:15" ht="42.75" customHeight="1">
      <c r="A217" s="191"/>
      <c r="B217" s="13"/>
      <c r="C217" s="192"/>
      <c r="D217" s="14"/>
      <c r="E217" s="14"/>
      <c r="F217" s="14"/>
      <c r="G217" s="14"/>
      <c r="H217" s="14"/>
      <c r="I217" s="14"/>
      <c r="J217" s="14"/>
      <c r="K217" s="14"/>
      <c r="L217" s="14"/>
      <c r="M217" s="14"/>
      <c r="N217" s="14"/>
      <c r="O217" s="194"/>
    </row>
    <row r="218" spans="1:14" ht="21" customHeight="1" thickBot="1">
      <c r="A218" s="90" t="s">
        <v>99</v>
      </c>
      <c r="B218" s="94"/>
      <c r="C218" s="91"/>
      <c r="D218" s="92"/>
      <c r="E218" s="92"/>
      <c r="F218" s="13"/>
      <c r="G218" s="13"/>
      <c r="H218" s="13"/>
      <c r="I218" s="13"/>
      <c r="J218" s="13"/>
      <c r="K218" s="13"/>
      <c r="L218" s="89"/>
      <c r="M218" s="13"/>
      <c r="N218" s="93" t="s">
        <v>16</v>
      </c>
    </row>
    <row r="219" spans="1:14" ht="58.5" customHeight="1" thickBot="1">
      <c r="A219" s="224" t="s">
        <v>17</v>
      </c>
      <c r="B219" s="225" t="s">
        <v>19</v>
      </c>
      <c r="C219" s="226" t="s">
        <v>47</v>
      </c>
      <c r="D219" s="225" t="s">
        <v>185</v>
      </c>
      <c r="E219" s="227" t="s">
        <v>44</v>
      </c>
      <c r="F219" s="228" t="s">
        <v>395</v>
      </c>
      <c r="G219" s="228" t="s">
        <v>93</v>
      </c>
      <c r="H219" s="387" t="s">
        <v>396</v>
      </c>
      <c r="I219" s="108" t="s">
        <v>388</v>
      </c>
      <c r="J219" s="109" t="s">
        <v>45</v>
      </c>
      <c r="K219" s="229" t="s">
        <v>392</v>
      </c>
      <c r="L219" s="228" t="s">
        <v>173</v>
      </c>
      <c r="M219" s="228" t="s">
        <v>21</v>
      </c>
      <c r="N219" s="230" t="s">
        <v>31</v>
      </c>
    </row>
    <row r="220" spans="1:15" ht="82.5" customHeight="1">
      <c r="A220" s="347">
        <v>1</v>
      </c>
      <c r="B220" s="354" t="s">
        <v>462</v>
      </c>
      <c r="C220" s="286" t="s">
        <v>219</v>
      </c>
      <c r="D220" s="307">
        <v>9</v>
      </c>
      <c r="E220" s="307">
        <f>D220</f>
        <v>9</v>
      </c>
      <c r="F220" s="308">
        <v>0</v>
      </c>
      <c r="G220" s="290">
        <f>D220-F220</f>
        <v>9</v>
      </c>
      <c r="H220" s="388">
        <f>SUM(K220:N220)</f>
        <v>9</v>
      </c>
      <c r="I220" s="291"/>
      <c r="J220" s="291"/>
      <c r="K220" s="290">
        <v>0</v>
      </c>
      <c r="L220" s="290"/>
      <c r="M220" s="308">
        <v>9</v>
      </c>
      <c r="N220" s="290"/>
      <c r="O220" s="294" t="s">
        <v>30</v>
      </c>
    </row>
    <row r="221" spans="1:15" ht="17.25" customHeight="1">
      <c r="A221" s="191"/>
      <c r="B221" s="13"/>
      <c r="C221" s="192" t="s">
        <v>18</v>
      </c>
      <c r="D221" s="193">
        <f aca="true" t="shared" si="44" ref="D221:N221">SUM(D220:D220)</f>
        <v>9</v>
      </c>
      <c r="E221" s="193">
        <f t="shared" si="44"/>
        <v>9</v>
      </c>
      <c r="F221" s="193">
        <f t="shared" si="44"/>
        <v>0</v>
      </c>
      <c r="G221" s="193">
        <f t="shared" si="44"/>
        <v>9</v>
      </c>
      <c r="H221" s="389">
        <f t="shared" si="44"/>
        <v>9</v>
      </c>
      <c r="I221" s="193">
        <f t="shared" si="44"/>
        <v>0</v>
      </c>
      <c r="J221" s="193">
        <f t="shared" si="44"/>
        <v>0</v>
      </c>
      <c r="K221" s="193">
        <f t="shared" si="44"/>
        <v>0</v>
      </c>
      <c r="L221" s="193">
        <f t="shared" si="44"/>
        <v>0</v>
      </c>
      <c r="M221" s="193">
        <f t="shared" si="44"/>
        <v>9</v>
      </c>
      <c r="N221" s="193">
        <f t="shared" si="44"/>
        <v>0</v>
      </c>
      <c r="O221" s="194"/>
    </row>
    <row r="222" spans="1:15" ht="30.75" customHeight="1">
      <c r="A222" s="191"/>
      <c r="B222" s="13"/>
      <c r="C222" s="192"/>
      <c r="D222" s="14"/>
      <c r="E222" s="14"/>
      <c r="F222" s="14"/>
      <c r="G222" s="14"/>
      <c r="H222" s="14"/>
      <c r="I222" s="14"/>
      <c r="J222" s="14"/>
      <c r="K222" s="14"/>
      <c r="L222" s="14"/>
      <c r="M222" s="14"/>
      <c r="N222" s="14"/>
      <c r="O222" s="194"/>
    </row>
    <row r="223" spans="1:15" ht="30.75" customHeight="1">
      <c r="A223" s="191"/>
      <c r="B223" s="13"/>
      <c r="C223" s="192"/>
      <c r="D223" s="14"/>
      <c r="E223" s="14"/>
      <c r="F223" s="14"/>
      <c r="G223" s="14"/>
      <c r="H223" s="14"/>
      <c r="I223" s="14"/>
      <c r="J223" s="14"/>
      <c r="K223" s="14"/>
      <c r="L223" s="14"/>
      <c r="M223" s="14"/>
      <c r="N223" s="14"/>
      <c r="O223" s="194"/>
    </row>
    <row r="224" spans="1:15" ht="27.75" customHeight="1" thickBot="1">
      <c r="A224" s="90" t="s">
        <v>105</v>
      </c>
      <c r="B224" s="94"/>
      <c r="C224" s="91"/>
      <c r="D224" s="92"/>
      <c r="E224" s="92"/>
      <c r="F224" s="13"/>
      <c r="G224" s="13"/>
      <c r="H224" s="13"/>
      <c r="I224" s="13"/>
      <c r="J224" s="13"/>
      <c r="K224" s="13"/>
      <c r="L224" s="89"/>
      <c r="M224" s="13"/>
      <c r="O224" s="194"/>
    </row>
    <row r="225" spans="1:15" ht="55.5" customHeight="1" thickBot="1">
      <c r="A225" s="224" t="s">
        <v>17</v>
      </c>
      <c r="B225" s="225" t="s">
        <v>19</v>
      </c>
      <c r="C225" s="226" t="s">
        <v>47</v>
      </c>
      <c r="D225" s="225" t="s">
        <v>185</v>
      </c>
      <c r="E225" s="227" t="s">
        <v>44</v>
      </c>
      <c r="F225" s="228" t="s">
        <v>395</v>
      </c>
      <c r="G225" s="228" t="s">
        <v>93</v>
      </c>
      <c r="H225" s="387" t="s">
        <v>396</v>
      </c>
      <c r="I225" s="108" t="s">
        <v>388</v>
      </c>
      <c r="J225" s="109" t="s">
        <v>45</v>
      </c>
      <c r="K225" s="229" t="s">
        <v>392</v>
      </c>
      <c r="L225" s="228" t="s">
        <v>173</v>
      </c>
      <c r="M225" s="228" t="s">
        <v>21</v>
      </c>
      <c r="N225" s="230" t="s">
        <v>31</v>
      </c>
      <c r="O225" s="194"/>
    </row>
    <row r="226" spans="1:15" ht="44.25" customHeight="1">
      <c r="A226" s="334">
        <v>1</v>
      </c>
      <c r="B226" s="306" t="s">
        <v>479</v>
      </c>
      <c r="C226" s="286" t="s">
        <v>196</v>
      </c>
      <c r="D226" s="307">
        <v>1</v>
      </c>
      <c r="E226" s="307">
        <f aca="true" t="shared" si="45" ref="E226:E231">D226</f>
        <v>1</v>
      </c>
      <c r="F226" s="308">
        <v>0</v>
      </c>
      <c r="G226" s="290">
        <f aca="true" t="shared" si="46" ref="G226:G231">D226-F226</f>
        <v>1</v>
      </c>
      <c r="H226" s="388">
        <f aca="true" t="shared" si="47" ref="H226:H231">SUM(I226:N226)</f>
        <v>1</v>
      </c>
      <c r="I226" s="308"/>
      <c r="J226" s="291"/>
      <c r="K226" s="290">
        <v>0</v>
      </c>
      <c r="L226" s="290"/>
      <c r="M226" s="308">
        <v>1</v>
      </c>
      <c r="N226" s="290"/>
      <c r="O226" s="294" t="s">
        <v>30</v>
      </c>
    </row>
    <row r="227" spans="1:15" ht="44.25" customHeight="1">
      <c r="A227" s="334">
        <v>2</v>
      </c>
      <c r="B227" s="306" t="s">
        <v>480</v>
      </c>
      <c r="C227" s="286" t="s">
        <v>196</v>
      </c>
      <c r="D227" s="307">
        <v>1</v>
      </c>
      <c r="E227" s="307">
        <f>D227</f>
        <v>1</v>
      </c>
      <c r="F227" s="308">
        <v>0</v>
      </c>
      <c r="G227" s="290">
        <f>D227-F227</f>
        <v>1</v>
      </c>
      <c r="H227" s="388">
        <f t="shared" si="47"/>
        <v>1</v>
      </c>
      <c r="I227" s="308"/>
      <c r="J227" s="291"/>
      <c r="K227" s="290">
        <v>0</v>
      </c>
      <c r="L227" s="290"/>
      <c r="M227" s="308">
        <v>1</v>
      </c>
      <c r="N227" s="290"/>
      <c r="O227" s="294" t="s">
        <v>30</v>
      </c>
    </row>
    <row r="228" spans="1:15" ht="42">
      <c r="A228" s="334">
        <v>3</v>
      </c>
      <c r="B228" s="306" t="s">
        <v>551</v>
      </c>
      <c r="C228" s="327" t="s">
        <v>196</v>
      </c>
      <c r="D228" s="307">
        <v>321</v>
      </c>
      <c r="E228" s="293">
        <f>D228</f>
        <v>321</v>
      </c>
      <c r="F228" s="308">
        <v>0</v>
      </c>
      <c r="G228" s="290">
        <f>D228-F228</f>
        <v>321</v>
      </c>
      <c r="H228" s="388">
        <f t="shared" si="47"/>
        <v>321</v>
      </c>
      <c r="I228" s="308"/>
      <c r="J228" s="291"/>
      <c r="K228" s="290">
        <v>0</v>
      </c>
      <c r="L228" s="290"/>
      <c r="M228" s="308">
        <v>321</v>
      </c>
      <c r="N228" s="290"/>
      <c r="O228" s="294" t="s">
        <v>30</v>
      </c>
    </row>
    <row r="229" spans="1:15" ht="65.25" customHeight="1">
      <c r="A229" s="334">
        <v>4</v>
      </c>
      <c r="B229" s="306" t="s">
        <v>550</v>
      </c>
      <c r="C229" s="327" t="s">
        <v>196</v>
      </c>
      <c r="D229" s="307">
        <f>161+321</f>
        <v>482</v>
      </c>
      <c r="E229" s="293">
        <f t="shared" si="45"/>
        <v>482</v>
      </c>
      <c r="F229" s="308">
        <v>161</v>
      </c>
      <c r="G229" s="290">
        <f t="shared" si="46"/>
        <v>321</v>
      </c>
      <c r="H229" s="388">
        <f t="shared" si="47"/>
        <v>321</v>
      </c>
      <c r="I229" s="308"/>
      <c r="J229" s="291"/>
      <c r="K229" s="290">
        <v>0</v>
      </c>
      <c r="L229" s="290"/>
      <c r="M229" s="308">
        <v>321</v>
      </c>
      <c r="N229" s="290"/>
      <c r="O229" s="294" t="s">
        <v>30</v>
      </c>
    </row>
    <row r="230" spans="1:15" ht="63" customHeight="1">
      <c r="A230" s="334">
        <v>5</v>
      </c>
      <c r="B230" s="306" t="s">
        <v>319</v>
      </c>
      <c r="C230" s="327" t="s">
        <v>196</v>
      </c>
      <c r="D230" s="307">
        <v>321</v>
      </c>
      <c r="E230" s="293">
        <f>D230</f>
        <v>321</v>
      </c>
      <c r="F230" s="308">
        <v>0</v>
      </c>
      <c r="G230" s="290">
        <f>D230-F230</f>
        <v>321</v>
      </c>
      <c r="H230" s="388">
        <f t="shared" si="47"/>
        <v>321</v>
      </c>
      <c r="I230" s="308"/>
      <c r="J230" s="291"/>
      <c r="K230" s="290">
        <v>0</v>
      </c>
      <c r="L230" s="290"/>
      <c r="M230" s="308">
        <v>321</v>
      </c>
      <c r="N230" s="290"/>
      <c r="O230" s="294" t="s">
        <v>30</v>
      </c>
    </row>
    <row r="231" spans="1:15" ht="57.75" customHeight="1">
      <c r="A231" s="334">
        <v>6</v>
      </c>
      <c r="B231" s="306" t="s">
        <v>324</v>
      </c>
      <c r="C231" s="327" t="s">
        <v>196</v>
      </c>
      <c r="D231" s="307">
        <v>6280</v>
      </c>
      <c r="E231" s="293">
        <f t="shared" si="45"/>
        <v>6280</v>
      </c>
      <c r="F231" s="308">
        <v>0</v>
      </c>
      <c r="G231" s="290">
        <f t="shared" si="46"/>
        <v>6280</v>
      </c>
      <c r="H231" s="388">
        <f t="shared" si="47"/>
        <v>6280</v>
      </c>
      <c r="I231" s="308">
        <v>6280</v>
      </c>
      <c r="J231" s="291"/>
      <c r="K231" s="290">
        <v>0</v>
      </c>
      <c r="L231" s="290"/>
      <c r="M231" s="308">
        <v>0</v>
      </c>
      <c r="N231" s="290"/>
      <c r="O231" s="294" t="s">
        <v>30</v>
      </c>
    </row>
    <row r="232" spans="1:15" ht="31.5" customHeight="1">
      <c r="A232" s="191"/>
      <c r="B232" s="13"/>
      <c r="C232" s="192" t="s">
        <v>18</v>
      </c>
      <c r="D232" s="193">
        <f aca="true" t="shared" si="48" ref="D232:N232">SUM(D226:D231)</f>
        <v>7406</v>
      </c>
      <c r="E232" s="193">
        <f t="shared" si="48"/>
        <v>7406</v>
      </c>
      <c r="F232" s="193">
        <f t="shared" si="48"/>
        <v>161</v>
      </c>
      <c r="G232" s="193">
        <f t="shared" si="48"/>
        <v>7245</v>
      </c>
      <c r="H232" s="389">
        <f t="shared" si="48"/>
        <v>7245</v>
      </c>
      <c r="I232" s="193">
        <f t="shared" si="48"/>
        <v>6280</v>
      </c>
      <c r="J232" s="193">
        <f t="shared" si="48"/>
        <v>0</v>
      </c>
      <c r="K232" s="193">
        <f t="shared" si="48"/>
        <v>0</v>
      </c>
      <c r="L232" s="193">
        <f t="shared" si="48"/>
        <v>0</v>
      </c>
      <c r="M232" s="193">
        <f t="shared" si="48"/>
        <v>965</v>
      </c>
      <c r="N232" s="193">
        <f t="shared" si="48"/>
        <v>0</v>
      </c>
      <c r="O232" s="194"/>
    </row>
    <row r="233" spans="1:15" ht="17.25" customHeight="1">
      <c r="A233" s="191"/>
      <c r="B233" s="13"/>
      <c r="C233" s="192"/>
      <c r="D233" s="14"/>
      <c r="E233" s="14"/>
      <c r="F233" s="14"/>
      <c r="G233" s="14"/>
      <c r="H233" s="14"/>
      <c r="I233" s="14"/>
      <c r="J233" s="14"/>
      <c r="K233" s="14"/>
      <c r="L233" s="14"/>
      <c r="M233" s="14"/>
      <c r="N233" s="14"/>
      <c r="O233" s="194"/>
    </row>
    <row r="234" spans="1:15" ht="19.5" customHeight="1">
      <c r="A234" s="191"/>
      <c r="B234" s="13"/>
      <c r="C234" s="192"/>
      <c r="D234" s="14"/>
      <c r="E234" s="14"/>
      <c r="F234" s="14"/>
      <c r="G234" s="14"/>
      <c r="H234" s="14"/>
      <c r="I234" s="14"/>
      <c r="J234" s="14"/>
      <c r="K234" s="14"/>
      <c r="L234" s="14"/>
      <c r="M234" s="14"/>
      <c r="N234" s="14"/>
      <c r="O234" s="194"/>
    </row>
    <row r="235" spans="1:15" ht="17.25" customHeight="1">
      <c r="A235" s="191"/>
      <c r="B235" s="13"/>
      <c r="C235" s="192"/>
      <c r="D235" s="14"/>
      <c r="E235" s="14"/>
      <c r="F235" s="14"/>
      <c r="G235" s="14"/>
      <c r="H235" s="14"/>
      <c r="I235" s="14"/>
      <c r="J235" s="14"/>
      <c r="K235" s="14"/>
      <c r="L235" s="14"/>
      <c r="M235" s="14"/>
      <c r="N235" s="14"/>
      <c r="O235" s="194"/>
    </row>
    <row r="236" spans="1:14" ht="36.75" customHeight="1" thickBot="1">
      <c r="A236" s="90" t="s">
        <v>71</v>
      </c>
      <c r="B236" s="220"/>
      <c r="C236" s="91"/>
      <c r="D236" s="92"/>
      <c r="E236" s="92"/>
      <c r="F236" s="13"/>
      <c r="G236" s="13"/>
      <c r="H236" s="13"/>
      <c r="I236" s="13"/>
      <c r="J236" s="13"/>
      <c r="K236" s="13"/>
      <c r="L236" s="89"/>
      <c r="M236" s="13"/>
      <c r="N236" s="93" t="s">
        <v>16</v>
      </c>
    </row>
    <row r="237" spans="1:14" ht="67.5" customHeight="1" thickBot="1">
      <c r="A237" s="224" t="s">
        <v>17</v>
      </c>
      <c r="B237" s="225" t="s">
        <v>19</v>
      </c>
      <c r="C237" s="226" t="s">
        <v>47</v>
      </c>
      <c r="D237" s="225" t="s">
        <v>185</v>
      </c>
      <c r="E237" s="227" t="s">
        <v>44</v>
      </c>
      <c r="F237" s="228" t="s">
        <v>395</v>
      </c>
      <c r="G237" s="228" t="s">
        <v>93</v>
      </c>
      <c r="H237" s="387" t="s">
        <v>396</v>
      </c>
      <c r="I237" s="108" t="s">
        <v>388</v>
      </c>
      <c r="J237" s="109" t="s">
        <v>45</v>
      </c>
      <c r="K237" s="229" t="s">
        <v>392</v>
      </c>
      <c r="L237" s="228" t="s">
        <v>173</v>
      </c>
      <c r="M237" s="228" t="s">
        <v>21</v>
      </c>
      <c r="N237" s="230" t="s">
        <v>31</v>
      </c>
    </row>
    <row r="238" spans="1:15" ht="123" customHeight="1">
      <c r="A238" s="284">
        <v>1</v>
      </c>
      <c r="B238" s="336" t="s">
        <v>515</v>
      </c>
      <c r="C238" s="312" t="s">
        <v>211</v>
      </c>
      <c r="D238" s="337">
        <v>320</v>
      </c>
      <c r="E238" s="307">
        <f aca="true" t="shared" si="49" ref="E238:E246">D238</f>
        <v>320</v>
      </c>
      <c r="F238" s="308">
        <v>0</v>
      </c>
      <c r="G238" s="290">
        <f aca="true" t="shared" si="50" ref="G238:G246">D238-F238</f>
        <v>320</v>
      </c>
      <c r="H238" s="388">
        <f aca="true" t="shared" si="51" ref="H238:H246">SUM(K238:N238)</f>
        <v>320</v>
      </c>
      <c r="I238" s="291"/>
      <c r="J238" s="291"/>
      <c r="K238" s="290"/>
      <c r="L238" s="290"/>
      <c r="M238" s="308">
        <v>320</v>
      </c>
      <c r="N238" s="290"/>
      <c r="O238" s="294" t="s">
        <v>30</v>
      </c>
    </row>
    <row r="239" spans="1:15" ht="78.75" customHeight="1">
      <c r="A239" s="284">
        <v>2</v>
      </c>
      <c r="B239" s="336" t="s">
        <v>517</v>
      </c>
      <c r="C239" s="312" t="s">
        <v>211</v>
      </c>
      <c r="D239" s="337">
        <v>1</v>
      </c>
      <c r="E239" s="307">
        <f t="shared" si="49"/>
        <v>1</v>
      </c>
      <c r="F239" s="308">
        <v>0</v>
      </c>
      <c r="G239" s="290">
        <f>D239-F239</f>
        <v>1</v>
      </c>
      <c r="H239" s="388">
        <f t="shared" si="51"/>
        <v>1</v>
      </c>
      <c r="I239" s="291"/>
      <c r="J239" s="291"/>
      <c r="K239" s="290"/>
      <c r="L239" s="290"/>
      <c r="M239" s="308">
        <v>1</v>
      </c>
      <c r="N239" s="290"/>
      <c r="O239" s="294" t="s">
        <v>30</v>
      </c>
    </row>
    <row r="240" spans="1:15" ht="88.5" customHeight="1">
      <c r="A240" s="284">
        <v>3</v>
      </c>
      <c r="B240" s="336" t="s">
        <v>518</v>
      </c>
      <c r="C240" s="312" t="s">
        <v>211</v>
      </c>
      <c r="D240" s="337">
        <v>1</v>
      </c>
      <c r="E240" s="307">
        <f t="shared" si="49"/>
        <v>1</v>
      </c>
      <c r="F240" s="308">
        <v>0</v>
      </c>
      <c r="G240" s="290">
        <f>D240-F240</f>
        <v>1</v>
      </c>
      <c r="H240" s="388">
        <f t="shared" si="51"/>
        <v>1</v>
      </c>
      <c r="I240" s="291"/>
      <c r="J240" s="291"/>
      <c r="K240" s="290"/>
      <c r="L240" s="290"/>
      <c r="M240" s="308">
        <v>1</v>
      </c>
      <c r="N240" s="290"/>
      <c r="O240" s="294" t="s">
        <v>30</v>
      </c>
    </row>
    <row r="241" spans="1:15" ht="82.5" customHeight="1">
      <c r="A241" s="284">
        <v>4</v>
      </c>
      <c r="B241" s="336" t="s">
        <v>216</v>
      </c>
      <c r="C241" s="312" t="s">
        <v>211</v>
      </c>
      <c r="D241" s="337">
        <f>584-190</f>
        <v>394</v>
      </c>
      <c r="E241" s="307">
        <f t="shared" si="49"/>
        <v>394</v>
      </c>
      <c r="F241" s="308">
        <v>0</v>
      </c>
      <c r="G241" s="290">
        <f t="shared" si="50"/>
        <v>394</v>
      </c>
      <c r="H241" s="388">
        <f t="shared" si="51"/>
        <v>394</v>
      </c>
      <c r="I241" s="291"/>
      <c r="J241" s="291"/>
      <c r="K241" s="290"/>
      <c r="L241" s="290"/>
      <c r="M241" s="308">
        <f>584-190</f>
        <v>394</v>
      </c>
      <c r="N241" s="290"/>
      <c r="O241" s="294" t="s">
        <v>30</v>
      </c>
    </row>
    <row r="242" spans="1:15" ht="75" customHeight="1">
      <c r="A242" s="284">
        <v>5</v>
      </c>
      <c r="B242" s="336" t="s">
        <v>217</v>
      </c>
      <c r="C242" s="312" t="s">
        <v>211</v>
      </c>
      <c r="D242" s="337">
        <v>391</v>
      </c>
      <c r="E242" s="307">
        <f t="shared" si="49"/>
        <v>391</v>
      </c>
      <c r="F242" s="308">
        <v>0</v>
      </c>
      <c r="G242" s="290">
        <f t="shared" si="50"/>
        <v>391</v>
      </c>
      <c r="H242" s="388">
        <f t="shared" si="51"/>
        <v>391</v>
      </c>
      <c r="I242" s="291"/>
      <c r="J242" s="291"/>
      <c r="K242" s="290"/>
      <c r="L242" s="290"/>
      <c r="M242" s="308">
        <v>391</v>
      </c>
      <c r="N242" s="290"/>
      <c r="O242" s="294" t="s">
        <v>30</v>
      </c>
    </row>
    <row r="243" spans="1:15" ht="144" customHeight="1">
      <c r="A243" s="284">
        <v>6</v>
      </c>
      <c r="B243" s="318" t="s">
        <v>131</v>
      </c>
      <c r="C243" s="338" t="s">
        <v>219</v>
      </c>
      <c r="D243" s="307">
        <f>1900+243</f>
        <v>2143</v>
      </c>
      <c r="E243" s="307">
        <f t="shared" si="49"/>
        <v>2143</v>
      </c>
      <c r="F243" s="308">
        <v>243</v>
      </c>
      <c r="G243" s="290">
        <f t="shared" si="50"/>
        <v>1900</v>
      </c>
      <c r="H243" s="388">
        <f t="shared" si="51"/>
        <v>1900</v>
      </c>
      <c r="I243" s="291"/>
      <c r="J243" s="291"/>
      <c r="K243" s="290">
        <v>1900</v>
      </c>
      <c r="L243" s="290"/>
      <c r="M243" s="308">
        <v>0</v>
      </c>
      <c r="N243" s="290"/>
      <c r="O243" s="294" t="s">
        <v>30</v>
      </c>
    </row>
    <row r="244" spans="1:15" ht="144.75" customHeight="1">
      <c r="A244" s="284">
        <v>7</v>
      </c>
      <c r="B244" s="318" t="s">
        <v>135</v>
      </c>
      <c r="C244" s="338" t="s">
        <v>219</v>
      </c>
      <c r="D244" s="307">
        <f>152+1</f>
        <v>153</v>
      </c>
      <c r="E244" s="307">
        <f t="shared" si="49"/>
        <v>153</v>
      </c>
      <c r="F244" s="308">
        <v>152</v>
      </c>
      <c r="G244" s="290">
        <f t="shared" si="50"/>
        <v>1</v>
      </c>
      <c r="H244" s="388">
        <f t="shared" si="51"/>
        <v>1</v>
      </c>
      <c r="I244" s="291"/>
      <c r="J244" s="291"/>
      <c r="K244" s="290"/>
      <c r="L244" s="290"/>
      <c r="M244" s="308">
        <v>1</v>
      </c>
      <c r="N244" s="290"/>
      <c r="O244" s="294" t="s">
        <v>30</v>
      </c>
    </row>
    <row r="245" spans="1:15" ht="131.25" customHeight="1">
      <c r="A245" s="284">
        <v>8</v>
      </c>
      <c r="B245" s="318" t="s">
        <v>134</v>
      </c>
      <c r="C245" s="338" t="s">
        <v>219</v>
      </c>
      <c r="D245" s="307">
        <f>209+3400</f>
        <v>3609</v>
      </c>
      <c r="E245" s="307">
        <f t="shared" si="49"/>
        <v>3609</v>
      </c>
      <c r="F245" s="308">
        <v>209</v>
      </c>
      <c r="G245" s="290">
        <f t="shared" si="50"/>
        <v>3400</v>
      </c>
      <c r="H245" s="388">
        <f t="shared" si="51"/>
        <v>3400</v>
      </c>
      <c r="I245" s="291"/>
      <c r="J245" s="291"/>
      <c r="K245" s="290"/>
      <c r="L245" s="290"/>
      <c r="M245" s="308">
        <v>3400</v>
      </c>
      <c r="N245" s="290"/>
      <c r="O245" s="294" t="s">
        <v>30</v>
      </c>
    </row>
    <row r="246" spans="1:15" ht="138.75" customHeight="1">
      <c r="A246" s="284">
        <v>9</v>
      </c>
      <c r="B246" s="336" t="s">
        <v>564</v>
      </c>
      <c r="C246" s="338" t="s">
        <v>219</v>
      </c>
      <c r="D246" s="337">
        <f>102+2000</f>
        <v>2102</v>
      </c>
      <c r="E246" s="307">
        <f t="shared" si="49"/>
        <v>2102</v>
      </c>
      <c r="F246" s="308">
        <v>102</v>
      </c>
      <c r="G246" s="290">
        <f t="shared" si="50"/>
        <v>2000</v>
      </c>
      <c r="H246" s="388">
        <f t="shared" si="51"/>
        <v>2000</v>
      </c>
      <c r="I246" s="291"/>
      <c r="J246" s="291"/>
      <c r="K246" s="290">
        <v>0</v>
      </c>
      <c r="L246" s="290"/>
      <c r="M246" s="308">
        <v>2000</v>
      </c>
      <c r="N246" s="290"/>
      <c r="O246" s="294" t="s">
        <v>30</v>
      </c>
    </row>
    <row r="247" spans="1:15" ht="32.25" customHeight="1">
      <c r="A247" s="191"/>
      <c r="B247" s="91"/>
      <c r="C247" s="192" t="s">
        <v>18</v>
      </c>
      <c r="D247" s="193">
        <f aca="true" t="shared" si="52" ref="D247:N247">SUM(D238:D246)</f>
        <v>9114</v>
      </c>
      <c r="E247" s="193">
        <f t="shared" si="52"/>
        <v>9114</v>
      </c>
      <c r="F247" s="193">
        <f t="shared" si="52"/>
        <v>706</v>
      </c>
      <c r="G247" s="193">
        <f t="shared" si="52"/>
        <v>8408</v>
      </c>
      <c r="H247" s="389">
        <f t="shared" si="52"/>
        <v>8408</v>
      </c>
      <c r="I247" s="193">
        <f t="shared" si="52"/>
        <v>0</v>
      </c>
      <c r="J247" s="193">
        <f t="shared" si="52"/>
        <v>0</v>
      </c>
      <c r="K247" s="193">
        <f t="shared" si="52"/>
        <v>1900</v>
      </c>
      <c r="L247" s="193">
        <f t="shared" si="52"/>
        <v>0</v>
      </c>
      <c r="M247" s="193">
        <f t="shared" si="52"/>
        <v>6508</v>
      </c>
      <c r="N247" s="193">
        <f t="shared" si="52"/>
        <v>0</v>
      </c>
      <c r="O247" s="194"/>
    </row>
    <row r="248" spans="1:15" ht="13.5">
      <c r="A248" s="175"/>
      <c r="B248" s="176"/>
      <c r="C248" s="115"/>
      <c r="D248" s="119"/>
      <c r="E248" s="119"/>
      <c r="F248" s="119"/>
      <c r="G248" s="119"/>
      <c r="H248" s="119"/>
      <c r="I248" s="119"/>
      <c r="J248" s="119"/>
      <c r="K248" s="119"/>
      <c r="L248" s="119"/>
      <c r="M248" s="119"/>
      <c r="N248" s="119"/>
      <c r="O248" s="12"/>
    </row>
    <row r="249" spans="1:14" ht="15">
      <c r="A249" s="412"/>
      <c r="B249" s="432"/>
      <c r="C249" s="431"/>
      <c r="D249" s="416" t="s">
        <v>114</v>
      </c>
      <c r="E249" s="416"/>
      <c r="F249" s="432"/>
      <c r="G249" s="414"/>
      <c r="H249" s="414"/>
      <c r="I249" s="414"/>
      <c r="J249" s="414"/>
      <c r="K249" s="414"/>
      <c r="L249" s="414"/>
      <c r="M249" s="432"/>
      <c r="N249" s="414"/>
    </row>
    <row r="250" spans="1:14" ht="15">
      <c r="A250" s="418"/>
      <c r="B250" s="413" t="s">
        <v>154</v>
      </c>
      <c r="C250" s="431"/>
      <c r="D250" s="419"/>
      <c r="E250" s="419"/>
      <c r="F250" s="415"/>
      <c r="G250" s="432"/>
      <c r="H250" s="424"/>
      <c r="I250" s="420"/>
      <c r="J250" s="419"/>
      <c r="K250" s="432"/>
      <c r="L250" s="417" t="s">
        <v>162</v>
      </c>
      <c r="M250" s="432"/>
      <c r="N250" s="419"/>
    </row>
    <row r="251" spans="1:15" ht="15">
      <c r="A251" s="422"/>
      <c r="B251" s="413" t="s">
        <v>153</v>
      </c>
      <c r="C251" s="431"/>
      <c r="D251" s="415"/>
      <c r="E251" s="415"/>
      <c r="F251" s="432"/>
      <c r="G251" s="423" t="s">
        <v>115</v>
      </c>
      <c r="H251" s="421"/>
      <c r="I251" s="420"/>
      <c r="J251" s="415"/>
      <c r="K251" s="432"/>
      <c r="L251" s="421" t="s">
        <v>109</v>
      </c>
      <c r="M251" s="420"/>
      <c r="N251" s="415"/>
      <c r="O251" s="31"/>
    </row>
    <row r="252" spans="1:15" ht="15">
      <c r="A252" s="422"/>
      <c r="B252" s="425" t="s">
        <v>113</v>
      </c>
      <c r="C252" s="430"/>
      <c r="D252" s="415"/>
      <c r="E252" s="415"/>
      <c r="F252" s="432"/>
      <c r="G252" s="423" t="s">
        <v>379</v>
      </c>
      <c r="H252" s="429"/>
      <c r="I252" s="417"/>
      <c r="J252" s="415"/>
      <c r="K252" s="432"/>
      <c r="L252" s="421"/>
      <c r="M252" s="421" t="s">
        <v>110</v>
      </c>
      <c r="N252" s="415"/>
      <c r="O252" s="31"/>
    </row>
    <row r="253" spans="1:15" ht="15">
      <c r="A253" s="426"/>
      <c r="B253" s="425" t="s">
        <v>118</v>
      </c>
      <c r="C253" s="415"/>
      <c r="D253" s="415"/>
      <c r="E253" s="415"/>
      <c r="F253" s="427"/>
      <c r="G253" s="436" t="s">
        <v>378</v>
      </c>
      <c r="H253" s="415"/>
      <c r="I253" s="415"/>
      <c r="J253" s="415"/>
      <c r="K253" s="432"/>
      <c r="L253" s="432"/>
      <c r="M253" s="421" t="s">
        <v>111</v>
      </c>
      <c r="N253" s="417"/>
      <c r="O253" s="163" t="s">
        <v>164</v>
      </c>
    </row>
    <row r="254" spans="1:15" ht="15">
      <c r="A254" s="426"/>
      <c r="B254" s="421"/>
      <c r="C254" s="421"/>
      <c r="D254" s="430"/>
      <c r="E254" s="430"/>
      <c r="F254" s="421"/>
      <c r="G254" s="429"/>
      <c r="H254" s="421"/>
      <c r="I254" s="421"/>
      <c r="J254" s="421"/>
      <c r="K254" s="427"/>
      <c r="L254" s="415"/>
      <c r="M254" s="421"/>
      <c r="N254" s="421"/>
      <c r="O254" s="163"/>
    </row>
    <row r="255" spans="1:15" ht="13.5">
      <c r="A255" s="179"/>
      <c r="B255" s="179"/>
      <c r="C255" s="179"/>
      <c r="D255" s="179"/>
      <c r="E255" s="179"/>
      <c r="F255" s="179"/>
      <c r="G255" s="15"/>
      <c r="H255" s="179"/>
      <c r="I255" s="179"/>
      <c r="J255" s="179"/>
      <c r="K255" s="179"/>
      <c r="L255" s="179"/>
      <c r="M255" s="179"/>
      <c r="N255" s="180"/>
      <c r="O255" s="31"/>
    </row>
    <row r="256" spans="3:15" ht="13.5">
      <c r="C256" s="12"/>
      <c r="L256" s="100"/>
      <c r="M256" s="15"/>
      <c r="O256" s="12"/>
    </row>
    <row r="257" spans="2:15" ht="13.5">
      <c r="B257" s="181"/>
      <c r="C257" s="12"/>
      <c r="L257" s="100"/>
      <c r="O257" s="12"/>
    </row>
    <row r="258" spans="1:15" ht="13.5">
      <c r="A258" s="15"/>
      <c r="C258" s="15"/>
      <c r="D258" s="15"/>
      <c r="E258" s="15"/>
      <c r="F258" s="15"/>
      <c r="G258" s="15"/>
      <c r="H258" s="15"/>
      <c r="I258" s="15"/>
      <c r="J258" s="15"/>
      <c r="K258" s="100"/>
      <c r="L258" s="100"/>
      <c r="M258" s="15"/>
      <c r="N258" s="15"/>
      <c r="O258" s="15"/>
    </row>
    <row r="259" spans="1:15" ht="13.5">
      <c r="A259" s="15"/>
      <c r="C259" s="15"/>
      <c r="D259" s="15"/>
      <c r="E259" s="15"/>
      <c r="F259" s="15"/>
      <c r="G259" s="15"/>
      <c r="H259" s="15"/>
      <c r="I259" s="15"/>
      <c r="J259" s="15"/>
      <c r="K259" s="100"/>
      <c r="L259" s="100"/>
      <c r="M259" s="15"/>
      <c r="N259" s="15"/>
      <c r="O259" s="15"/>
    </row>
    <row r="260" spans="1:15" ht="13.5">
      <c r="A260" s="15"/>
      <c r="B260" s="15"/>
      <c r="C260" s="15"/>
      <c r="D260" s="15"/>
      <c r="E260" s="15"/>
      <c r="F260" s="15"/>
      <c r="G260" s="15"/>
      <c r="H260" s="15"/>
      <c r="I260" s="15"/>
      <c r="J260" s="15"/>
      <c r="K260" s="100"/>
      <c r="L260" s="100"/>
      <c r="M260" s="15"/>
      <c r="N260" s="15"/>
      <c r="O260" s="15"/>
    </row>
  </sheetData>
  <sheetProtection/>
  <mergeCells count="2">
    <mergeCell ref="A7:N7"/>
    <mergeCell ref="A112:B112"/>
  </mergeCells>
  <printOptions/>
  <pageMargins left="0.5118110236220472" right="0.3937007874015748" top="0.3937007874015748" bottom="0.7874015748031497" header="0.31496062992125984" footer="0.3937007874015748"/>
  <pageSetup horizontalDpi="600" verticalDpi="600" orientation="landscape" paperSize="9" r:id="rId2"/>
  <headerFooter alignWithMargins="0">
    <oddFooter xml:space="preserve">&amp;C&amp;8 Pagina &amp;P din &amp;N&amp;R&amp;8(L1) HCL nr.  din
Studii și proiecte </oddFooter>
  </headerFooter>
  <ignoredErrors>
    <ignoredError sqref="H82 H22" formula="1"/>
  </ignoredErrors>
  <drawing r:id="rId1"/>
</worksheet>
</file>

<file path=xl/worksheets/sheet4.xml><?xml version="1.0" encoding="utf-8"?>
<worksheet xmlns="http://schemas.openxmlformats.org/spreadsheetml/2006/main" xmlns:r="http://schemas.openxmlformats.org/officeDocument/2006/relationships">
  <sheetPr>
    <tabColor indexed="11"/>
  </sheetPr>
  <dimension ref="A1:O124"/>
  <sheetViews>
    <sheetView tabSelected="1" zoomScale="115" zoomScaleNormal="115" zoomScaleSheetLayoutView="100" workbookViewId="0" topLeftCell="A100">
      <selection activeCell="C103" sqref="C103"/>
    </sheetView>
  </sheetViews>
  <sheetFormatPr defaultColWidth="9.140625" defaultRowHeight="12.75"/>
  <cols>
    <col min="1" max="1" width="3.8515625" style="15" customWidth="1"/>
    <col min="2" max="2" width="34.8515625" style="15" customWidth="1"/>
    <col min="3" max="3" width="11.28125" style="15" customWidth="1"/>
    <col min="4" max="4" width="7.57421875" style="15" customWidth="1"/>
    <col min="5" max="5" width="9.140625" style="15" customWidth="1"/>
    <col min="6" max="6" width="8.140625" style="15" customWidth="1"/>
    <col min="7" max="7" width="8.00390625" style="15" customWidth="1"/>
    <col min="8" max="8" width="7.8515625" style="100" customWidth="1"/>
    <col min="9" max="9" width="7.421875" style="100" customWidth="1"/>
    <col min="10" max="10" width="5.7109375" style="100" customWidth="1"/>
    <col min="11" max="12" width="7.57421875" style="15" customWidth="1"/>
    <col min="13" max="13" width="7.28125" style="15" customWidth="1"/>
    <col min="14" max="14" width="5.7109375" style="15" customWidth="1"/>
    <col min="15" max="15" width="5.7109375" style="104" customWidth="1"/>
    <col min="16" max="16384" width="9.140625" style="15" customWidth="1"/>
  </cols>
  <sheetData>
    <row r="1" spans="4:15" ht="12.75">
      <c r="D1" s="364"/>
      <c r="E1" s="364"/>
      <c r="F1" s="365"/>
      <c r="G1" s="366"/>
      <c r="H1" s="367"/>
      <c r="I1" s="368"/>
      <c r="J1" s="368"/>
      <c r="K1" s="367"/>
      <c r="L1" s="369"/>
      <c r="M1" s="369"/>
      <c r="N1" s="101" t="s">
        <v>68</v>
      </c>
      <c r="O1" s="102"/>
    </row>
    <row r="2" spans="2:13" ht="14.25">
      <c r="B2" s="103"/>
      <c r="D2" s="364"/>
      <c r="E2" s="177"/>
      <c r="F2" s="433" t="s">
        <v>22</v>
      </c>
      <c r="G2" s="433" t="s">
        <v>64</v>
      </c>
      <c r="H2" s="433"/>
      <c r="I2" s="433"/>
      <c r="J2" s="433"/>
      <c r="K2" s="433" t="s">
        <v>23</v>
      </c>
      <c r="L2" s="433"/>
      <c r="M2" s="370"/>
    </row>
    <row r="3" spans="1:13" ht="14.25">
      <c r="A3" s="18"/>
      <c r="B3" s="100"/>
      <c r="D3" s="364"/>
      <c r="E3" s="177"/>
      <c r="F3" s="433" t="s">
        <v>251</v>
      </c>
      <c r="G3" s="420"/>
      <c r="H3" s="433"/>
      <c r="I3" s="433"/>
      <c r="J3" s="433"/>
      <c r="K3" s="433" t="s">
        <v>75</v>
      </c>
      <c r="L3" s="433"/>
      <c r="M3" s="371"/>
    </row>
    <row r="4" spans="4:13" ht="14.25">
      <c r="D4" s="364"/>
      <c r="E4" s="435"/>
      <c r="F4" s="433" t="s">
        <v>212</v>
      </c>
      <c r="G4" s="421"/>
      <c r="H4" s="421"/>
      <c r="I4" s="421"/>
      <c r="J4" s="415"/>
      <c r="K4" s="433" t="s">
        <v>117</v>
      </c>
      <c r="L4" s="433"/>
      <c r="M4" s="371"/>
    </row>
    <row r="5" spans="4:13" ht="14.25">
      <c r="D5" s="364"/>
      <c r="E5" s="177"/>
      <c r="F5" s="431" t="s">
        <v>241</v>
      </c>
      <c r="G5" s="177"/>
      <c r="H5" s="421"/>
      <c r="I5" s="177"/>
      <c r="J5" s="424"/>
      <c r="K5" s="432"/>
      <c r="L5" s="437"/>
      <c r="M5" s="371"/>
    </row>
    <row r="6" spans="2:13" ht="12.75" customHeight="1">
      <c r="B6" s="15" t="s">
        <v>566</v>
      </c>
      <c r="D6" s="364"/>
      <c r="H6" s="161"/>
      <c r="I6" s="15"/>
      <c r="L6" s="248"/>
      <c r="M6" s="371"/>
    </row>
    <row r="7" spans="8:13" ht="16.5" customHeight="1">
      <c r="H7" s="161"/>
      <c r="I7" s="15"/>
      <c r="L7" s="248"/>
      <c r="M7" s="161"/>
    </row>
    <row r="8" spans="1:15" ht="16.5" customHeight="1">
      <c r="A8" s="460" t="s">
        <v>398</v>
      </c>
      <c r="B8" s="460"/>
      <c r="C8" s="460"/>
      <c r="D8" s="460"/>
      <c r="E8" s="460"/>
      <c r="F8" s="460"/>
      <c r="G8" s="460"/>
      <c r="H8" s="460"/>
      <c r="I8" s="460"/>
      <c r="J8" s="460"/>
      <c r="K8" s="460"/>
      <c r="L8" s="460"/>
      <c r="M8" s="460"/>
      <c r="N8" s="460"/>
      <c r="O8" s="460"/>
    </row>
    <row r="9" spans="1:15" ht="14.25" customHeight="1">
      <c r="A9" s="267"/>
      <c r="B9" s="267"/>
      <c r="C9" s="267"/>
      <c r="D9" s="267"/>
      <c r="E9" s="267"/>
      <c r="F9" s="267"/>
      <c r="G9" s="267"/>
      <c r="H9" s="267"/>
      <c r="I9" s="267"/>
      <c r="J9" s="267"/>
      <c r="K9" s="267"/>
      <c r="L9" s="267"/>
      <c r="M9" s="267"/>
      <c r="N9" s="267"/>
      <c r="O9" s="267"/>
    </row>
    <row r="10" spans="1:15" ht="27" customHeight="1" thickBot="1">
      <c r="A10" s="90" t="s">
        <v>53</v>
      </c>
      <c r="B10" s="13"/>
      <c r="C10" s="105"/>
      <c r="D10" s="267"/>
      <c r="E10" s="267"/>
      <c r="F10" s="267"/>
      <c r="G10" s="267"/>
      <c r="H10" s="267"/>
      <c r="I10" s="267"/>
      <c r="J10" s="267"/>
      <c r="K10" s="267"/>
      <c r="L10" s="267"/>
      <c r="M10" s="267"/>
      <c r="N10" s="107" t="s">
        <v>16</v>
      </c>
      <c r="O10" s="106"/>
    </row>
    <row r="11" spans="1:15" ht="48" thickBot="1">
      <c r="A11" s="224" t="s">
        <v>17</v>
      </c>
      <c r="B11" s="225" t="s">
        <v>19</v>
      </c>
      <c r="C11" s="226" t="s">
        <v>47</v>
      </c>
      <c r="D11" s="225" t="s">
        <v>185</v>
      </c>
      <c r="E11" s="227" t="s">
        <v>44</v>
      </c>
      <c r="F11" s="228" t="s">
        <v>395</v>
      </c>
      <c r="G11" s="228" t="s">
        <v>93</v>
      </c>
      <c r="H11" s="387" t="s">
        <v>396</v>
      </c>
      <c r="I11" s="108" t="s">
        <v>388</v>
      </c>
      <c r="J11" s="109" t="s">
        <v>45</v>
      </c>
      <c r="K11" s="229" t="s">
        <v>392</v>
      </c>
      <c r="L11" s="228" t="s">
        <v>173</v>
      </c>
      <c r="M11" s="228" t="s">
        <v>21</v>
      </c>
      <c r="N11" s="230" t="s">
        <v>31</v>
      </c>
      <c r="O11" s="106"/>
    </row>
    <row r="12" spans="1:15" ht="43.5" customHeight="1">
      <c r="A12" s="315">
        <v>1</v>
      </c>
      <c r="B12" s="314" t="s">
        <v>488</v>
      </c>
      <c r="C12" s="312" t="s">
        <v>194</v>
      </c>
      <c r="D12" s="313">
        <v>329</v>
      </c>
      <c r="E12" s="313">
        <f aca="true" t="shared" si="0" ref="E12:E19">D12</f>
        <v>329</v>
      </c>
      <c r="F12" s="313">
        <v>0</v>
      </c>
      <c r="G12" s="314">
        <f aca="true" t="shared" si="1" ref="G12:G19">E12-F12</f>
        <v>329</v>
      </c>
      <c r="H12" s="390">
        <f>SUM(I12:N12)</f>
        <v>329</v>
      </c>
      <c r="I12" s="313"/>
      <c r="J12" s="313"/>
      <c r="K12" s="313">
        <v>329</v>
      </c>
      <c r="L12" s="313"/>
      <c r="M12" s="313">
        <v>0</v>
      </c>
      <c r="N12" s="313"/>
      <c r="O12" s="453" t="s">
        <v>94</v>
      </c>
    </row>
    <row r="13" spans="1:15" ht="45" customHeight="1">
      <c r="A13" s="315">
        <v>2</v>
      </c>
      <c r="B13" s="314" t="s">
        <v>125</v>
      </c>
      <c r="C13" s="312" t="s">
        <v>194</v>
      </c>
      <c r="D13" s="313">
        <v>615</v>
      </c>
      <c r="E13" s="313">
        <f t="shared" si="0"/>
        <v>615</v>
      </c>
      <c r="F13" s="313">
        <v>0</v>
      </c>
      <c r="G13" s="314">
        <f t="shared" si="1"/>
        <v>615</v>
      </c>
      <c r="H13" s="390">
        <f>SUM(I13:N13)</f>
        <v>615</v>
      </c>
      <c r="I13" s="313"/>
      <c r="J13" s="313"/>
      <c r="K13" s="313">
        <v>615</v>
      </c>
      <c r="L13" s="313"/>
      <c r="M13" s="313">
        <v>0</v>
      </c>
      <c r="N13" s="313"/>
      <c r="O13" s="453" t="s">
        <v>188</v>
      </c>
    </row>
    <row r="14" spans="1:15" ht="42">
      <c r="A14" s="315">
        <v>3</v>
      </c>
      <c r="B14" s="314" t="s">
        <v>126</v>
      </c>
      <c r="C14" s="312" t="s">
        <v>194</v>
      </c>
      <c r="D14" s="298">
        <v>17</v>
      </c>
      <c r="E14" s="298">
        <f t="shared" si="0"/>
        <v>17</v>
      </c>
      <c r="F14" s="298">
        <v>0</v>
      </c>
      <c r="G14" s="298">
        <f t="shared" si="1"/>
        <v>17</v>
      </c>
      <c r="H14" s="393">
        <f>SUM(I14:N14)</f>
        <v>17</v>
      </c>
      <c r="I14" s="299"/>
      <c r="J14" s="299"/>
      <c r="K14" s="320"/>
      <c r="L14" s="321"/>
      <c r="M14" s="322">
        <v>17</v>
      </c>
      <c r="N14" s="320"/>
      <c r="O14" s="454" t="s">
        <v>188</v>
      </c>
    </row>
    <row r="15" spans="1:15" ht="42" customHeight="1">
      <c r="A15" s="315">
        <v>4</v>
      </c>
      <c r="B15" s="314" t="s">
        <v>233</v>
      </c>
      <c r="C15" s="312" t="s">
        <v>194</v>
      </c>
      <c r="D15" s="298">
        <v>1785</v>
      </c>
      <c r="E15" s="298">
        <f t="shared" si="0"/>
        <v>1785</v>
      </c>
      <c r="F15" s="298">
        <v>0</v>
      </c>
      <c r="G15" s="298">
        <f t="shared" si="1"/>
        <v>1785</v>
      </c>
      <c r="H15" s="393">
        <f>SUM(I15:N15)</f>
        <v>1785</v>
      </c>
      <c r="I15" s="299"/>
      <c r="J15" s="299"/>
      <c r="K15" s="320"/>
      <c r="L15" s="321"/>
      <c r="M15" s="322">
        <v>1785</v>
      </c>
      <c r="N15" s="320"/>
      <c r="O15" s="454" t="s">
        <v>29</v>
      </c>
    </row>
    <row r="16" spans="1:15" ht="45" customHeight="1">
      <c r="A16" s="315">
        <v>5</v>
      </c>
      <c r="B16" s="314" t="s">
        <v>234</v>
      </c>
      <c r="C16" s="312" t="s">
        <v>194</v>
      </c>
      <c r="D16" s="298">
        <f>325-203+128+40+10</f>
        <v>300</v>
      </c>
      <c r="E16" s="298">
        <f t="shared" si="0"/>
        <v>300</v>
      </c>
      <c r="F16" s="298">
        <v>0</v>
      </c>
      <c r="G16" s="298">
        <f t="shared" si="1"/>
        <v>300</v>
      </c>
      <c r="H16" s="393">
        <f>SUM(I16:N16)</f>
        <v>300</v>
      </c>
      <c r="I16" s="299"/>
      <c r="J16" s="299"/>
      <c r="K16" s="320"/>
      <c r="L16" s="321"/>
      <c r="M16" s="322">
        <f>325-203+128+40+10</f>
        <v>300</v>
      </c>
      <c r="N16" s="320"/>
      <c r="O16" s="454" t="s">
        <v>94</v>
      </c>
    </row>
    <row r="17" spans="1:15" ht="45" customHeight="1">
      <c r="A17" s="315">
        <v>6</v>
      </c>
      <c r="B17" s="311" t="s">
        <v>492</v>
      </c>
      <c r="C17" s="312" t="s">
        <v>194</v>
      </c>
      <c r="D17" s="298">
        <v>3</v>
      </c>
      <c r="E17" s="298">
        <f t="shared" si="0"/>
        <v>3</v>
      </c>
      <c r="F17" s="298">
        <v>0</v>
      </c>
      <c r="G17" s="298">
        <f t="shared" si="1"/>
        <v>3</v>
      </c>
      <c r="H17" s="393">
        <f>SUM(J17:N17)</f>
        <v>3</v>
      </c>
      <c r="I17" s="299"/>
      <c r="J17" s="299"/>
      <c r="K17" s="299">
        <v>0</v>
      </c>
      <c r="L17" s="300"/>
      <c r="M17" s="299">
        <v>3</v>
      </c>
      <c r="N17" s="299"/>
      <c r="O17" s="454" t="s">
        <v>30</v>
      </c>
    </row>
    <row r="18" spans="1:15" ht="45" customHeight="1">
      <c r="A18" s="315">
        <v>7</v>
      </c>
      <c r="B18" s="311" t="s">
        <v>494</v>
      </c>
      <c r="C18" s="312" t="s">
        <v>194</v>
      </c>
      <c r="D18" s="298">
        <v>167</v>
      </c>
      <c r="E18" s="298">
        <f t="shared" si="0"/>
        <v>167</v>
      </c>
      <c r="F18" s="298">
        <v>0</v>
      </c>
      <c r="G18" s="298">
        <f t="shared" si="1"/>
        <v>167</v>
      </c>
      <c r="H18" s="393">
        <f>SUM(J18:N18)</f>
        <v>167</v>
      </c>
      <c r="I18" s="299"/>
      <c r="J18" s="299"/>
      <c r="K18" s="299">
        <v>0</v>
      </c>
      <c r="L18" s="300"/>
      <c r="M18" s="299">
        <v>167</v>
      </c>
      <c r="N18" s="299"/>
      <c r="O18" s="454" t="s">
        <v>30</v>
      </c>
    </row>
    <row r="19" spans="1:15" ht="52.5" customHeight="1">
      <c r="A19" s="315">
        <v>8</v>
      </c>
      <c r="B19" s="311" t="s">
        <v>556</v>
      </c>
      <c r="C19" s="286" t="s">
        <v>211</v>
      </c>
      <c r="D19" s="298">
        <v>322</v>
      </c>
      <c r="E19" s="298">
        <f t="shared" si="0"/>
        <v>322</v>
      </c>
      <c r="F19" s="298">
        <v>0</v>
      </c>
      <c r="G19" s="298">
        <f t="shared" si="1"/>
        <v>322</v>
      </c>
      <c r="H19" s="393">
        <f>SUM(J19:N19)</f>
        <v>322</v>
      </c>
      <c r="I19" s="299"/>
      <c r="J19" s="299"/>
      <c r="K19" s="299">
        <v>0</v>
      </c>
      <c r="L19" s="300"/>
      <c r="M19" s="299">
        <v>322</v>
      </c>
      <c r="N19" s="299"/>
      <c r="O19" s="454" t="s">
        <v>30</v>
      </c>
    </row>
    <row r="20" spans="1:15" ht="33" customHeight="1">
      <c r="A20" s="115"/>
      <c r="B20" s="116"/>
      <c r="C20" s="115" t="s">
        <v>18</v>
      </c>
      <c r="D20" s="117">
        <f aca="true" t="shared" si="2" ref="D20:N20">SUM(D12:D19)</f>
        <v>3538</v>
      </c>
      <c r="E20" s="117">
        <f t="shared" si="2"/>
        <v>3538</v>
      </c>
      <c r="F20" s="117">
        <f t="shared" si="2"/>
        <v>0</v>
      </c>
      <c r="G20" s="117">
        <f t="shared" si="2"/>
        <v>3538</v>
      </c>
      <c r="H20" s="395">
        <f t="shared" si="2"/>
        <v>3538</v>
      </c>
      <c r="I20" s="117">
        <f t="shared" si="2"/>
        <v>0</v>
      </c>
      <c r="J20" s="117">
        <f t="shared" si="2"/>
        <v>0</v>
      </c>
      <c r="K20" s="117">
        <f t="shared" si="2"/>
        <v>944</v>
      </c>
      <c r="L20" s="117">
        <f t="shared" si="2"/>
        <v>0</v>
      </c>
      <c r="M20" s="117">
        <f t="shared" si="2"/>
        <v>2594</v>
      </c>
      <c r="N20" s="117">
        <f t="shared" si="2"/>
        <v>0</v>
      </c>
      <c r="O20" s="118"/>
    </row>
    <row r="21" spans="1:15" ht="33" customHeight="1">
      <c r="A21" s="115"/>
      <c r="B21" s="116"/>
      <c r="C21" s="115"/>
      <c r="D21" s="119"/>
      <c r="E21" s="119"/>
      <c r="F21" s="119"/>
      <c r="G21" s="119"/>
      <c r="H21" s="119"/>
      <c r="I21" s="119"/>
      <c r="J21" s="119"/>
      <c r="K21" s="119"/>
      <c r="L21" s="119"/>
      <c r="M21" s="119"/>
      <c r="N21" s="119"/>
      <c r="O21" s="118"/>
    </row>
    <row r="22" spans="1:15" ht="30" customHeight="1" thickBot="1">
      <c r="A22" s="252" t="s">
        <v>339</v>
      </c>
      <c r="B22" s="116"/>
      <c r="C22" s="115"/>
      <c r="D22" s="119"/>
      <c r="E22" s="119"/>
      <c r="F22" s="119"/>
      <c r="G22" s="119"/>
      <c r="H22" s="119"/>
      <c r="I22" s="119"/>
      <c r="J22" s="119"/>
      <c r="K22" s="119"/>
      <c r="L22" s="119"/>
      <c r="M22" s="119"/>
      <c r="N22" s="107" t="s">
        <v>16</v>
      </c>
      <c r="O22" s="118"/>
    </row>
    <row r="23" spans="1:15" ht="57" customHeight="1" thickBot="1">
      <c r="A23" s="224" t="s">
        <v>17</v>
      </c>
      <c r="B23" s="225" t="s">
        <v>19</v>
      </c>
      <c r="C23" s="226" t="s">
        <v>47</v>
      </c>
      <c r="D23" s="225" t="s">
        <v>185</v>
      </c>
      <c r="E23" s="227" t="s">
        <v>44</v>
      </c>
      <c r="F23" s="228" t="s">
        <v>395</v>
      </c>
      <c r="G23" s="228" t="s">
        <v>93</v>
      </c>
      <c r="H23" s="387" t="s">
        <v>396</v>
      </c>
      <c r="I23" s="108" t="s">
        <v>388</v>
      </c>
      <c r="J23" s="109" t="s">
        <v>45</v>
      </c>
      <c r="K23" s="229" t="s">
        <v>392</v>
      </c>
      <c r="L23" s="228" t="s">
        <v>173</v>
      </c>
      <c r="M23" s="228" t="s">
        <v>21</v>
      </c>
      <c r="N23" s="230" t="s">
        <v>31</v>
      </c>
      <c r="O23" s="106"/>
    </row>
    <row r="24" spans="1:15" ht="36.75" customHeight="1">
      <c r="A24" s="315">
        <v>1</v>
      </c>
      <c r="B24" s="314" t="s">
        <v>485</v>
      </c>
      <c r="C24" s="312" t="s">
        <v>192</v>
      </c>
      <c r="D24" s="298">
        <v>670</v>
      </c>
      <c r="E24" s="298">
        <f>D24</f>
        <v>670</v>
      </c>
      <c r="F24" s="298">
        <v>0</v>
      </c>
      <c r="G24" s="298">
        <f>E24-F24</f>
        <v>670</v>
      </c>
      <c r="H24" s="393">
        <f>SUM(I24:N24)</f>
        <v>670</v>
      </c>
      <c r="I24" s="299"/>
      <c r="J24" s="299"/>
      <c r="K24" s="320"/>
      <c r="L24" s="321"/>
      <c r="M24" s="322">
        <v>670</v>
      </c>
      <c r="N24" s="320"/>
      <c r="O24" s="454" t="s">
        <v>54</v>
      </c>
    </row>
    <row r="25" spans="1:15" ht="34.5" customHeight="1">
      <c r="A25" s="315">
        <v>2</v>
      </c>
      <c r="B25" s="314" t="s">
        <v>136</v>
      </c>
      <c r="C25" s="312" t="s">
        <v>192</v>
      </c>
      <c r="D25" s="298">
        <f>32+66</f>
        <v>98</v>
      </c>
      <c r="E25" s="298">
        <f>D25</f>
        <v>98</v>
      </c>
      <c r="F25" s="298">
        <v>32</v>
      </c>
      <c r="G25" s="298">
        <f>E25-F25</f>
        <v>66</v>
      </c>
      <c r="H25" s="393">
        <f>SUM(I25:N25)</f>
        <v>66</v>
      </c>
      <c r="I25" s="299"/>
      <c r="J25" s="299"/>
      <c r="K25" s="320"/>
      <c r="L25" s="321"/>
      <c r="M25" s="322">
        <v>66</v>
      </c>
      <c r="N25" s="320"/>
      <c r="O25" s="453" t="s">
        <v>54</v>
      </c>
    </row>
    <row r="26" spans="1:15" ht="32.25" customHeight="1">
      <c r="A26" s="315">
        <v>3</v>
      </c>
      <c r="B26" s="314" t="s">
        <v>486</v>
      </c>
      <c r="C26" s="312" t="s">
        <v>192</v>
      </c>
      <c r="D26" s="298">
        <v>266</v>
      </c>
      <c r="E26" s="298">
        <f>D26</f>
        <v>266</v>
      </c>
      <c r="F26" s="298">
        <v>0</v>
      </c>
      <c r="G26" s="298">
        <f>E26-F26</f>
        <v>266</v>
      </c>
      <c r="H26" s="393">
        <f>SUM(I26:N26)</f>
        <v>266</v>
      </c>
      <c r="I26" s="299"/>
      <c r="J26" s="299"/>
      <c r="K26" s="320"/>
      <c r="L26" s="321"/>
      <c r="M26" s="322">
        <v>266</v>
      </c>
      <c r="N26" s="320"/>
      <c r="O26" s="453" t="s">
        <v>54</v>
      </c>
    </row>
    <row r="27" spans="1:15" ht="60" customHeight="1">
      <c r="A27" s="315">
        <v>4</v>
      </c>
      <c r="B27" s="314" t="s">
        <v>349</v>
      </c>
      <c r="C27" s="312" t="s">
        <v>174</v>
      </c>
      <c r="D27" s="298">
        <v>685</v>
      </c>
      <c r="E27" s="298">
        <f>D27</f>
        <v>685</v>
      </c>
      <c r="F27" s="298">
        <v>0</v>
      </c>
      <c r="G27" s="298">
        <f>E27-F27</f>
        <v>685</v>
      </c>
      <c r="H27" s="393">
        <f>SUM(I27:N27)</f>
        <v>685</v>
      </c>
      <c r="I27" s="299"/>
      <c r="J27" s="299"/>
      <c r="K27" s="320"/>
      <c r="L27" s="321"/>
      <c r="M27" s="322">
        <v>685</v>
      </c>
      <c r="N27" s="320"/>
      <c r="O27" s="453" t="s">
        <v>29</v>
      </c>
    </row>
    <row r="28" spans="1:15" ht="75.75" customHeight="1">
      <c r="A28" s="315">
        <v>5</v>
      </c>
      <c r="B28" s="314" t="s">
        <v>487</v>
      </c>
      <c r="C28" s="312" t="s">
        <v>174</v>
      </c>
      <c r="D28" s="298">
        <v>209</v>
      </c>
      <c r="E28" s="298">
        <f>D28</f>
        <v>209</v>
      </c>
      <c r="F28" s="298">
        <v>0</v>
      </c>
      <c r="G28" s="298">
        <f>E28-F28</f>
        <v>209</v>
      </c>
      <c r="H28" s="393">
        <f>SUM(I28:N28)</f>
        <v>209</v>
      </c>
      <c r="I28" s="299"/>
      <c r="J28" s="299"/>
      <c r="K28" s="320"/>
      <c r="L28" s="321"/>
      <c r="M28" s="322">
        <v>209</v>
      </c>
      <c r="N28" s="320"/>
      <c r="O28" s="453" t="s">
        <v>29</v>
      </c>
    </row>
    <row r="29" spans="1:15" ht="22.5" customHeight="1">
      <c r="A29" s="115"/>
      <c r="B29" s="116"/>
      <c r="C29" s="115" t="s">
        <v>18</v>
      </c>
      <c r="D29" s="117">
        <f aca="true" t="shared" si="3" ref="D29:N29">SUM(D24:D28)</f>
        <v>1928</v>
      </c>
      <c r="E29" s="117">
        <f t="shared" si="3"/>
        <v>1928</v>
      </c>
      <c r="F29" s="117">
        <f t="shared" si="3"/>
        <v>32</v>
      </c>
      <c r="G29" s="117">
        <f t="shared" si="3"/>
        <v>1896</v>
      </c>
      <c r="H29" s="395">
        <f t="shared" si="3"/>
        <v>1896</v>
      </c>
      <c r="I29" s="117">
        <f t="shared" si="3"/>
        <v>0</v>
      </c>
      <c r="J29" s="117">
        <f t="shared" si="3"/>
        <v>0</v>
      </c>
      <c r="K29" s="117">
        <f t="shared" si="3"/>
        <v>0</v>
      </c>
      <c r="L29" s="117">
        <f t="shared" si="3"/>
        <v>0</v>
      </c>
      <c r="M29" s="117">
        <f t="shared" si="3"/>
        <v>1896</v>
      </c>
      <c r="N29" s="117">
        <f t="shared" si="3"/>
        <v>0</v>
      </c>
      <c r="O29" s="118"/>
    </row>
    <row r="30" spans="1:15" ht="16.5" customHeight="1">
      <c r="A30" s="115"/>
      <c r="B30" s="116"/>
      <c r="C30" s="115"/>
      <c r="D30" s="119"/>
      <c r="E30" s="119"/>
      <c r="F30" s="119"/>
      <c r="G30" s="119"/>
      <c r="H30" s="119"/>
      <c r="I30" s="119"/>
      <c r="J30" s="119"/>
      <c r="K30" s="119"/>
      <c r="L30" s="119"/>
      <c r="M30" s="119"/>
      <c r="N30" s="119"/>
      <c r="O30" s="118"/>
    </row>
    <row r="31" spans="1:15" ht="24.75" customHeight="1" thickBot="1">
      <c r="A31" s="221" t="s">
        <v>179</v>
      </c>
      <c r="B31" s="116"/>
      <c r="C31" s="115"/>
      <c r="D31" s="119"/>
      <c r="E31" s="119"/>
      <c r="F31" s="119"/>
      <c r="G31" s="119"/>
      <c r="H31" s="119"/>
      <c r="I31" s="119"/>
      <c r="J31" s="119"/>
      <c r="K31" s="119"/>
      <c r="L31" s="119"/>
      <c r="M31" s="119"/>
      <c r="N31" s="244" t="s">
        <v>16</v>
      </c>
      <c r="O31" s="118"/>
    </row>
    <row r="32" spans="1:15" ht="48" thickBot="1">
      <c r="A32" s="224" t="s">
        <v>17</v>
      </c>
      <c r="B32" s="225" t="s">
        <v>19</v>
      </c>
      <c r="C32" s="226" t="s">
        <v>47</v>
      </c>
      <c r="D32" s="225" t="s">
        <v>185</v>
      </c>
      <c r="E32" s="227" t="s">
        <v>44</v>
      </c>
      <c r="F32" s="228" t="s">
        <v>395</v>
      </c>
      <c r="G32" s="228" t="s">
        <v>93</v>
      </c>
      <c r="H32" s="387" t="s">
        <v>396</v>
      </c>
      <c r="I32" s="108" t="s">
        <v>388</v>
      </c>
      <c r="J32" s="109" t="s">
        <v>45</v>
      </c>
      <c r="K32" s="229" t="s">
        <v>392</v>
      </c>
      <c r="L32" s="228" t="s">
        <v>173</v>
      </c>
      <c r="M32" s="228" t="s">
        <v>21</v>
      </c>
      <c r="N32" s="230" t="s">
        <v>31</v>
      </c>
      <c r="O32" s="118"/>
    </row>
    <row r="33" spans="1:15" ht="44.25" customHeight="1">
      <c r="A33" s="325">
        <v>1</v>
      </c>
      <c r="B33" s="314" t="s">
        <v>193</v>
      </c>
      <c r="C33" s="312" t="s">
        <v>194</v>
      </c>
      <c r="D33" s="298">
        <v>1</v>
      </c>
      <c r="E33" s="298">
        <f aca="true" t="shared" si="4" ref="E33:E38">D33</f>
        <v>1</v>
      </c>
      <c r="F33" s="298">
        <v>0</v>
      </c>
      <c r="G33" s="298">
        <f aca="true" t="shared" si="5" ref="G33:G38">E33-F33</f>
        <v>1</v>
      </c>
      <c r="H33" s="393">
        <f>SUM(I33:N33)</f>
        <v>1</v>
      </c>
      <c r="I33" s="299"/>
      <c r="J33" s="299"/>
      <c r="K33" s="320"/>
      <c r="L33" s="321"/>
      <c r="M33" s="322">
        <v>1</v>
      </c>
      <c r="N33" s="320"/>
      <c r="O33" s="454" t="s">
        <v>29</v>
      </c>
    </row>
    <row r="34" spans="1:15" ht="42.75" customHeight="1">
      <c r="A34" s="325">
        <v>2</v>
      </c>
      <c r="B34" s="311" t="s">
        <v>493</v>
      </c>
      <c r="C34" s="312" t="s">
        <v>194</v>
      </c>
      <c r="D34" s="298">
        <v>143</v>
      </c>
      <c r="E34" s="298">
        <f t="shared" si="4"/>
        <v>143</v>
      </c>
      <c r="F34" s="298">
        <v>0</v>
      </c>
      <c r="G34" s="298">
        <f t="shared" si="5"/>
        <v>143</v>
      </c>
      <c r="H34" s="393">
        <f>SUM(J34:N34)</f>
        <v>143</v>
      </c>
      <c r="I34" s="299"/>
      <c r="J34" s="299"/>
      <c r="K34" s="299">
        <v>0</v>
      </c>
      <c r="L34" s="300"/>
      <c r="M34" s="299">
        <v>143</v>
      </c>
      <c r="N34" s="299"/>
      <c r="O34" s="454" t="s">
        <v>30</v>
      </c>
    </row>
    <row r="35" spans="1:15" ht="48" customHeight="1">
      <c r="A35" s="325">
        <v>3</v>
      </c>
      <c r="B35" s="311" t="s">
        <v>399</v>
      </c>
      <c r="C35" s="312" t="s">
        <v>219</v>
      </c>
      <c r="D35" s="298">
        <v>3</v>
      </c>
      <c r="E35" s="298">
        <f t="shared" si="4"/>
        <v>3</v>
      </c>
      <c r="F35" s="298">
        <v>0</v>
      </c>
      <c r="G35" s="298">
        <f t="shared" si="5"/>
        <v>3</v>
      </c>
      <c r="H35" s="393">
        <f>SUM(J35:N35)</f>
        <v>3</v>
      </c>
      <c r="I35" s="299"/>
      <c r="J35" s="299"/>
      <c r="K35" s="299">
        <v>3</v>
      </c>
      <c r="L35" s="300"/>
      <c r="M35" s="299">
        <v>0</v>
      </c>
      <c r="N35" s="299"/>
      <c r="O35" s="454" t="s">
        <v>54</v>
      </c>
    </row>
    <row r="36" spans="1:15" ht="46.5" customHeight="1">
      <c r="A36" s="325">
        <v>4</v>
      </c>
      <c r="B36" s="311" t="s">
        <v>409</v>
      </c>
      <c r="C36" s="312" t="s">
        <v>219</v>
      </c>
      <c r="D36" s="298">
        <v>4</v>
      </c>
      <c r="E36" s="298">
        <f t="shared" si="4"/>
        <v>4</v>
      </c>
      <c r="F36" s="298">
        <v>0</v>
      </c>
      <c r="G36" s="298">
        <f t="shared" si="5"/>
        <v>4</v>
      </c>
      <c r="H36" s="393">
        <f>SUM(J36:N36)</f>
        <v>4</v>
      </c>
      <c r="I36" s="299"/>
      <c r="J36" s="299"/>
      <c r="K36" s="299">
        <v>4</v>
      </c>
      <c r="L36" s="300"/>
      <c r="M36" s="299">
        <v>0</v>
      </c>
      <c r="N36" s="299"/>
      <c r="O36" s="454" t="s">
        <v>54</v>
      </c>
    </row>
    <row r="37" spans="1:15" ht="47.25" customHeight="1">
      <c r="A37" s="325">
        <v>5</v>
      </c>
      <c r="B37" s="311" t="s">
        <v>415</v>
      </c>
      <c r="C37" s="312" t="s">
        <v>219</v>
      </c>
      <c r="D37" s="298">
        <v>3</v>
      </c>
      <c r="E37" s="298">
        <f t="shared" si="4"/>
        <v>3</v>
      </c>
      <c r="F37" s="298">
        <v>0</v>
      </c>
      <c r="G37" s="298">
        <f t="shared" si="5"/>
        <v>3</v>
      </c>
      <c r="H37" s="393">
        <f>SUM(J37:N37)</f>
        <v>3</v>
      </c>
      <c r="I37" s="299"/>
      <c r="J37" s="299"/>
      <c r="K37" s="299">
        <v>3</v>
      </c>
      <c r="L37" s="300"/>
      <c r="M37" s="299">
        <v>0</v>
      </c>
      <c r="N37" s="299"/>
      <c r="O37" s="454" t="s">
        <v>54</v>
      </c>
    </row>
    <row r="38" spans="1:15" ht="68.25" customHeight="1">
      <c r="A38" s="325">
        <v>6</v>
      </c>
      <c r="B38" s="311" t="s">
        <v>221</v>
      </c>
      <c r="C38" s="312" t="s">
        <v>219</v>
      </c>
      <c r="D38" s="298">
        <v>202</v>
      </c>
      <c r="E38" s="298">
        <f t="shared" si="4"/>
        <v>202</v>
      </c>
      <c r="F38" s="298">
        <v>0</v>
      </c>
      <c r="G38" s="298">
        <f t="shared" si="5"/>
        <v>202</v>
      </c>
      <c r="H38" s="393">
        <f>SUM(J38:N38)</f>
        <v>202</v>
      </c>
      <c r="I38" s="299"/>
      <c r="J38" s="299"/>
      <c r="K38" s="299">
        <v>202</v>
      </c>
      <c r="L38" s="300"/>
      <c r="M38" s="299">
        <v>0</v>
      </c>
      <c r="N38" s="299"/>
      <c r="O38" s="454" t="s">
        <v>54</v>
      </c>
    </row>
    <row r="39" spans="1:15" ht="25.5" customHeight="1">
      <c r="A39" s="115"/>
      <c r="B39" s="116" t="s">
        <v>18</v>
      </c>
      <c r="C39" s="115"/>
      <c r="D39" s="123">
        <f aca="true" t="shared" si="6" ref="D39:N39">SUM(D33:D38)</f>
        <v>356</v>
      </c>
      <c r="E39" s="123">
        <f t="shared" si="6"/>
        <v>356</v>
      </c>
      <c r="F39" s="123">
        <f t="shared" si="6"/>
        <v>0</v>
      </c>
      <c r="G39" s="123">
        <f t="shared" si="6"/>
        <v>356</v>
      </c>
      <c r="H39" s="396">
        <f t="shared" si="6"/>
        <v>356</v>
      </c>
      <c r="I39" s="123">
        <f t="shared" si="6"/>
        <v>0</v>
      </c>
      <c r="J39" s="123">
        <f t="shared" si="6"/>
        <v>0</v>
      </c>
      <c r="K39" s="123">
        <f t="shared" si="6"/>
        <v>212</v>
      </c>
      <c r="L39" s="123">
        <f t="shared" si="6"/>
        <v>0</v>
      </c>
      <c r="M39" s="123">
        <f t="shared" si="6"/>
        <v>144</v>
      </c>
      <c r="N39" s="123">
        <f t="shared" si="6"/>
        <v>0</v>
      </c>
      <c r="O39" s="118"/>
    </row>
    <row r="40" spans="1:15" ht="17.25" customHeight="1">
      <c r="A40" s="115"/>
      <c r="B40" s="116"/>
      <c r="C40" s="115"/>
      <c r="D40" s="132"/>
      <c r="E40" s="132"/>
      <c r="F40" s="132"/>
      <c r="G40" s="132"/>
      <c r="H40" s="132"/>
      <c r="I40" s="132"/>
      <c r="J40" s="132"/>
      <c r="K40" s="132"/>
      <c r="L40" s="132"/>
      <c r="M40" s="132"/>
      <c r="N40" s="132"/>
      <c r="O40" s="118"/>
    </row>
    <row r="41" spans="1:15" ht="21" customHeight="1" thickBot="1">
      <c r="A41" s="266" t="s">
        <v>92</v>
      </c>
      <c r="B41" s="124"/>
      <c r="C41" s="115"/>
      <c r="D41" s="116"/>
      <c r="E41" s="125"/>
      <c r="F41" s="125"/>
      <c r="G41" s="125"/>
      <c r="H41" s="125"/>
      <c r="I41" s="125"/>
      <c r="J41" s="125"/>
      <c r="K41" s="125"/>
      <c r="L41" s="125"/>
      <c r="M41" s="125"/>
      <c r="N41" s="245" t="s">
        <v>16</v>
      </c>
      <c r="O41" s="126"/>
    </row>
    <row r="42" spans="1:15" ht="52.5" customHeight="1" thickBot="1">
      <c r="A42" s="224" t="s">
        <v>17</v>
      </c>
      <c r="B42" s="225" t="s">
        <v>19</v>
      </c>
      <c r="C42" s="226" t="s">
        <v>47</v>
      </c>
      <c r="D42" s="225" t="s">
        <v>185</v>
      </c>
      <c r="E42" s="227" t="s">
        <v>44</v>
      </c>
      <c r="F42" s="228" t="s">
        <v>395</v>
      </c>
      <c r="G42" s="228" t="s">
        <v>93</v>
      </c>
      <c r="H42" s="387" t="s">
        <v>396</v>
      </c>
      <c r="I42" s="108" t="s">
        <v>388</v>
      </c>
      <c r="J42" s="109" t="s">
        <v>45</v>
      </c>
      <c r="K42" s="229" t="s">
        <v>392</v>
      </c>
      <c r="L42" s="228" t="s">
        <v>173</v>
      </c>
      <c r="M42" s="228" t="s">
        <v>21</v>
      </c>
      <c r="N42" s="230" t="s">
        <v>31</v>
      </c>
      <c r="O42" s="106"/>
    </row>
    <row r="43" spans="1:15" ht="47.25" customHeight="1">
      <c r="A43" s="315">
        <v>1</v>
      </c>
      <c r="B43" s="314" t="s">
        <v>495</v>
      </c>
      <c r="C43" s="326" t="s">
        <v>195</v>
      </c>
      <c r="D43" s="313">
        <v>172</v>
      </c>
      <c r="E43" s="313">
        <f>D43</f>
        <v>172</v>
      </c>
      <c r="F43" s="313">
        <v>0</v>
      </c>
      <c r="G43" s="314">
        <f>E43-F43</f>
        <v>172</v>
      </c>
      <c r="H43" s="390">
        <f>SUM(I43:N43)</f>
        <v>172</v>
      </c>
      <c r="I43" s="313"/>
      <c r="J43" s="313"/>
      <c r="K43" s="313"/>
      <c r="L43" s="313">
        <v>0</v>
      </c>
      <c r="M43" s="313">
        <v>172</v>
      </c>
      <c r="N43" s="313"/>
      <c r="O43" s="324" t="s">
        <v>54</v>
      </c>
    </row>
    <row r="44" spans="1:15" ht="24" customHeight="1">
      <c r="A44" s="115"/>
      <c r="B44" s="116"/>
      <c r="C44" s="115" t="s">
        <v>18</v>
      </c>
      <c r="D44" s="128">
        <f aca="true" t="shared" si="7" ref="D44:N44">SUM(D43:D43)</f>
        <v>172</v>
      </c>
      <c r="E44" s="128">
        <f t="shared" si="7"/>
        <v>172</v>
      </c>
      <c r="F44" s="128">
        <f t="shared" si="7"/>
        <v>0</v>
      </c>
      <c r="G44" s="128">
        <f t="shared" si="7"/>
        <v>172</v>
      </c>
      <c r="H44" s="397">
        <f t="shared" si="7"/>
        <v>172</v>
      </c>
      <c r="I44" s="128">
        <f t="shared" si="7"/>
        <v>0</v>
      </c>
      <c r="J44" s="128">
        <f t="shared" si="7"/>
        <v>0</v>
      </c>
      <c r="K44" s="128">
        <f t="shared" si="7"/>
        <v>0</v>
      </c>
      <c r="L44" s="128">
        <f t="shared" si="7"/>
        <v>0</v>
      </c>
      <c r="M44" s="128">
        <f t="shared" si="7"/>
        <v>172</v>
      </c>
      <c r="N44" s="128">
        <f t="shared" si="7"/>
        <v>0</v>
      </c>
      <c r="O44" s="118"/>
    </row>
    <row r="45" spans="1:15" ht="22.5" customHeight="1">
      <c r="A45" s="115"/>
      <c r="B45" s="116"/>
      <c r="C45" s="115"/>
      <c r="D45" s="157"/>
      <c r="E45" s="157"/>
      <c r="F45" s="157"/>
      <c r="G45" s="157"/>
      <c r="H45" s="157"/>
      <c r="I45" s="157"/>
      <c r="J45" s="157"/>
      <c r="K45" s="157"/>
      <c r="L45" s="157"/>
      <c r="M45" s="157"/>
      <c r="N45" s="157"/>
      <c r="O45" s="118"/>
    </row>
    <row r="46" spans="1:15" ht="18.75" customHeight="1" thickBot="1">
      <c r="A46" s="90" t="s">
        <v>89</v>
      </c>
      <c r="B46" s="13"/>
      <c r="C46" s="115"/>
      <c r="D46" s="116"/>
      <c r="E46" s="125"/>
      <c r="F46" s="125"/>
      <c r="G46" s="125"/>
      <c r="H46" s="125"/>
      <c r="I46" s="125"/>
      <c r="J46" s="125"/>
      <c r="K46" s="125"/>
      <c r="L46" s="125"/>
      <c r="M46" s="125"/>
      <c r="N46" s="107" t="s">
        <v>16</v>
      </c>
      <c r="O46" s="126"/>
    </row>
    <row r="47" spans="1:15" ht="57.75" customHeight="1" thickBot="1">
      <c r="A47" s="224" t="s">
        <v>17</v>
      </c>
      <c r="B47" s="225" t="s">
        <v>19</v>
      </c>
      <c r="C47" s="226" t="s">
        <v>47</v>
      </c>
      <c r="D47" s="225" t="s">
        <v>185</v>
      </c>
      <c r="E47" s="227" t="s">
        <v>44</v>
      </c>
      <c r="F47" s="228" t="s">
        <v>395</v>
      </c>
      <c r="G47" s="228" t="s">
        <v>93</v>
      </c>
      <c r="H47" s="387" t="s">
        <v>396</v>
      </c>
      <c r="I47" s="108" t="s">
        <v>388</v>
      </c>
      <c r="J47" s="109" t="s">
        <v>45</v>
      </c>
      <c r="K47" s="229" t="s">
        <v>392</v>
      </c>
      <c r="L47" s="228" t="s">
        <v>173</v>
      </c>
      <c r="M47" s="228" t="s">
        <v>21</v>
      </c>
      <c r="N47" s="230" t="s">
        <v>31</v>
      </c>
      <c r="O47" s="106"/>
    </row>
    <row r="48" spans="1:15" ht="34.5">
      <c r="A48" s="315">
        <v>1</v>
      </c>
      <c r="B48" s="314" t="s">
        <v>321</v>
      </c>
      <c r="C48" s="316" t="s">
        <v>320</v>
      </c>
      <c r="D48" s="313">
        <v>7</v>
      </c>
      <c r="E48" s="313">
        <f>D48</f>
        <v>7</v>
      </c>
      <c r="F48" s="313">
        <v>0</v>
      </c>
      <c r="G48" s="314">
        <f>E48-F48</f>
        <v>7</v>
      </c>
      <c r="H48" s="390">
        <f>SUM(I48:N48)</f>
        <v>7</v>
      </c>
      <c r="I48" s="313"/>
      <c r="J48" s="313"/>
      <c r="K48" s="313">
        <v>0</v>
      </c>
      <c r="L48" s="313">
        <v>7</v>
      </c>
      <c r="M48" s="313">
        <v>0</v>
      </c>
      <c r="N48" s="313"/>
      <c r="O48" s="455" t="s">
        <v>30</v>
      </c>
    </row>
    <row r="49" spans="1:15" ht="42.75" customHeight="1">
      <c r="A49" s="317">
        <v>2</v>
      </c>
      <c r="B49" s="314" t="s">
        <v>483</v>
      </c>
      <c r="C49" s="316" t="s">
        <v>320</v>
      </c>
      <c r="D49" s="313">
        <v>1800</v>
      </c>
      <c r="E49" s="313">
        <f>D49</f>
        <v>1800</v>
      </c>
      <c r="F49" s="313">
        <v>0</v>
      </c>
      <c r="G49" s="314">
        <f>E49-F49</f>
        <v>1800</v>
      </c>
      <c r="H49" s="390">
        <f>SUM(I49:N49)</f>
        <v>1800</v>
      </c>
      <c r="I49" s="313"/>
      <c r="J49" s="313"/>
      <c r="K49" s="313">
        <v>0</v>
      </c>
      <c r="L49" s="313">
        <v>1800</v>
      </c>
      <c r="M49" s="313">
        <v>0</v>
      </c>
      <c r="N49" s="313"/>
      <c r="O49" s="149" t="s">
        <v>54</v>
      </c>
    </row>
    <row r="50" spans="1:15" ht="23.25" customHeight="1">
      <c r="A50" s="115"/>
      <c r="B50" s="116"/>
      <c r="C50" s="115" t="s">
        <v>18</v>
      </c>
      <c r="D50" s="128">
        <f aca="true" t="shared" si="8" ref="D50:N50">SUM(D48:D49)</f>
        <v>1807</v>
      </c>
      <c r="E50" s="128">
        <f t="shared" si="8"/>
        <v>1807</v>
      </c>
      <c r="F50" s="128">
        <f t="shared" si="8"/>
        <v>0</v>
      </c>
      <c r="G50" s="128">
        <f t="shared" si="8"/>
        <v>1807</v>
      </c>
      <c r="H50" s="397">
        <f t="shared" si="8"/>
        <v>1807</v>
      </c>
      <c r="I50" s="128">
        <f t="shared" si="8"/>
        <v>0</v>
      </c>
      <c r="J50" s="128">
        <f t="shared" si="8"/>
        <v>0</v>
      </c>
      <c r="K50" s="128">
        <f t="shared" si="8"/>
        <v>0</v>
      </c>
      <c r="L50" s="128">
        <f t="shared" si="8"/>
        <v>1807</v>
      </c>
      <c r="M50" s="128">
        <f t="shared" si="8"/>
        <v>0</v>
      </c>
      <c r="N50" s="128">
        <f t="shared" si="8"/>
        <v>0</v>
      </c>
      <c r="O50" s="118"/>
    </row>
    <row r="51" spans="1:15" ht="15" customHeight="1">
      <c r="A51" s="115"/>
      <c r="B51" s="116"/>
      <c r="C51" s="115"/>
      <c r="D51" s="157"/>
      <c r="E51" s="157"/>
      <c r="F51" s="157"/>
      <c r="G51" s="157"/>
      <c r="H51" s="157"/>
      <c r="I51" s="157"/>
      <c r="J51" s="157"/>
      <c r="K51" s="157"/>
      <c r="L51" s="157"/>
      <c r="M51" s="157"/>
      <c r="N51" s="157"/>
      <c r="O51" s="118"/>
    </row>
    <row r="52" spans="1:15" s="124" customFormat="1" ht="29.25" customHeight="1" thickBot="1">
      <c r="A52" s="98" t="s">
        <v>104</v>
      </c>
      <c r="B52" s="18"/>
      <c r="C52" s="15"/>
      <c r="D52" s="18"/>
      <c r="E52" s="18"/>
      <c r="F52" s="18"/>
      <c r="G52" s="18"/>
      <c r="H52" s="15"/>
      <c r="I52" s="15"/>
      <c r="J52" s="15"/>
      <c r="K52" s="15"/>
      <c r="L52" s="65"/>
      <c r="M52" s="15"/>
      <c r="N52" s="129" t="s">
        <v>16</v>
      </c>
      <c r="O52" s="126"/>
    </row>
    <row r="53" spans="1:15" ht="48" thickBot="1">
      <c r="A53" s="224" t="s">
        <v>17</v>
      </c>
      <c r="B53" s="225" t="s">
        <v>19</v>
      </c>
      <c r="C53" s="226" t="s">
        <v>47</v>
      </c>
      <c r="D53" s="225" t="s">
        <v>185</v>
      </c>
      <c r="E53" s="227" t="s">
        <v>44</v>
      </c>
      <c r="F53" s="228" t="s">
        <v>395</v>
      </c>
      <c r="G53" s="228" t="s">
        <v>93</v>
      </c>
      <c r="H53" s="387" t="s">
        <v>396</v>
      </c>
      <c r="I53" s="108" t="s">
        <v>388</v>
      </c>
      <c r="J53" s="109" t="s">
        <v>45</v>
      </c>
      <c r="K53" s="229" t="s">
        <v>392</v>
      </c>
      <c r="L53" s="228" t="s">
        <v>173</v>
      </c>
      <c r="M53" s="228" t="s">
        <v>21</v>
      </c>
      <c r="N53" s="230" t="s">
        <v>31</v>
      </c>
      <c r="O53" s="106"/>
    </row>
    <row r="54" spans="1:15" ht="69" customHeight="1">
      <c r="A54" s="315">
        <v>1</v>
      </c>
      <c r="B54" s="314" t="s">
        <v>496</v>
      </c>
      <c r="C54" s="326" t="s">
        <v>195</v>
      </c>
      <c r="D54" s="313">
        <v>132</v>
      </c>
      <c r="E54" s="313">
        <f>D54</f>
        <v>132</v>
      </c>
      <c r="F54" s="313">
        <v>0</v>
      </c>
      <c r="G54" s="314">
        <f>E54-F54</f>
        <v>132</v>
      </c>
      <c r="H54" s="390">
        <f>SUM(I54:N54)</f>
        <v>132</v>
      </c>
      <c r="I54" s="313"/>
      <c r="J54" s="313"/>
      <c r="K54" s="313"/>
      <c r="L54" s="313"/>
      <c r="M54" s="313">
        <v>132</v>
      </c>
      <c r="N54" s="313"/>
      <c r="O54" s="453" t="s">
        <v>54</v>
      </c>
    </row>
    <row r="55" spans="1:15" ht="53.25" customHeight="1">
      <c r="A55" s="315">
        <v>2</v>
      </c>
      <c r="B55" s="314" t="s">
        <v>567</v>
      </c>
      <c r="C55" s="326" t="s">
        <v>195</v>
      </c>
      <c r="D55" s="313">
        <v>22</v>
      </c>
      <c r="E55" s="313">
        <f>D55</f>
        <v>22</v>
      </c>
      <c r="F55" s="313">
        <v>0</v>
      </c>
      <c r="G55" s="314">
        <f>E55-F55</f>
        <v>22</v>
      </c>
      <c r="H55" s="390">
        <f>SUM(I55:N55)</f>
        <v>22</v>
      </c>
      <c r="I55" s="313"/>
      <c r="J55" s="313"/>
      <c r="K55" s="313"/>
      <c r="L55" s="313"/>
      <c r="M55" s="313">
        <v>22</v>
      </c>
      <c r="N55" s="313"/>
      <c r="O55" s="453" t="s">
        <v>29</v>
      </c>
    </row>
    <row r="56" spans="1:15" ht="53.25" customHeight="1">
      <c r="A56" s="315">
        <v>3</v>
      </c>
      <c r="B56" s="314" t="s">
        <v>540</v>
      </c>
      <c r="C56" s="326" t="s">
        <v>195</v>
      </c>
      <c r="D56" s="313">
        <v>4</v>
      </c>
      <c r="E56" s="313">
        <f>D56</f>
        <v>4</v>
      </c>
      <c r="F56" s="313">
        <v>0</v>
      </c>
      <c r="G56" s="314">
        <f>E56-F56</f>
        <v>4</v>
      </c>
      <c r="H56" s="390">
        <f>SUM(I56:N56)</f>
        <v>4</v>
      </c>
      <c r="I56" s="313"/>
      <c r="J56" s="313"/>
      <c r="K56" s="313"/>
      <c r="L56" s="313"/>
      <c r="M56" s="313">
        <v>4</v>
      </c>
      <c r="N56" s="313"/>
      <c r="O56" s="453" t="s">
        <v>29</v>
      </c>
    </row>
    <row r="57" spans="1:15" ht="66.75" customHeight="1">
      <c r="A57" s="315">
        <v>4</v>
      </c>
      <c r="B57" s="314" t="s">
        <v>497</v>
      </c>
      <c r="C57" s="326" t="s">
        <v>195</v>
      </c>
      <c r="D57" s="313">
        <v>15</v>
      </c>
      <c r="E57" s="313">
        <f>D57</f>
        <v>15</v>
      </c>
      <c r="F57" s="313">
        <v>0</v>
      </c>
      <c r="G57" s="314">
        <f>E57-F57</f>
        <v>15</v>
      </c>
      <c r="H57" s="390">
        <f>SUM(I57:N57)</f>
        <v>15</v>
      </c>
      <c r="I57" s="313"/>
      <c r="J57" s="313"/>
      <c r="K57" s="313"/>
      <c r="L57" s="313"/>
      <c r="M57" s="313">
        <v>15</v>
      </c>
      <c r="N57" s="313"/>
      <c r="O57" s="453" t="s">
        <v>54</v>
      </c>
    </row>
    <row r="58" spans="1:15" ht="58.5" customHeight="1">
      <c r="A58" s="315">
        <v>5</v>
      </c>
      <c r="B58" s="314" t="s">
        <v>498</v>
      </c>
      <c r="C58" s="326" t="s">
        <v>195</v>
      </c>
      <c r="D58" s="313">
        <v>15</v>
      </c>
      <c r="E58" s="313">
        <f>D58</f>
        <v>15</v>
      </c>
      <c r="F58" s="313">
        <v>0</v>
      </c>
      <c r="G58" s="314">
        <f>E58-F58</f>
        <v>15</v>
      </c>
      <c r="H58" s="390">
        <f>SUM(I58:N58)</f>
        <v>15</v>
      </c>
      <c r="I58" s="313"/>
      <c r="J58" s="313"/>
      <c r="K58" s="313"/>
      <c r="L58" s="313"/>
      <c r="M58" s="313">
        <v>15</v>
      </c>
      <c r="N58" s="313"/>
      <c r="O58" s="453" t="s">
        <v>30</v>
      </c>
    </row>
    <row r="59" spans="1:15" s="131" customFormat="1" ht="28.5" customHeight="1">
      <c r="A59" s="130"/>
      <c r="B59" s="116"/>
      <c r="C59" s="115" t="s">
        <v>18</v>
      </c>
      <c r="D59" s="117">
        <f aca="true" t="shared" si="9" ref="D59:N59">SUM(D54:D58)</f>
        <v>188</v>
      </c>
      <c r="E59" s="117">
        <f t="shared" si="9"/>
        <v>188</v>
      </c>
      <c r="F59" s="117">
        <f t="shared" si="9"/>
        <v>0</v>
      </c>
      <c r="G59" s="117">
        <f t="shared" si="9"/>
        <v>188</v>
      </c>
      <c r="H59" s="395">
        <f t="shared" si="9"/>
        <v>188</v>
      </c>
      <c r="I59" s="117">
        <f t="shared" si="9"/>
        <v>0</v>
      </c>
      <c r="J59" s="117">
        <f t="shared" si="9"/>
        <v>0</v>
      </c>
      <c r="K59" s="117">
        <f t="shared" si="9"/>
        <v>0</v>
      </c>
      <c r="L59" s="117">
        <f t="shared" si="9"/>
        <v>0</v>
      </c>
      <c r="M59" s="117">
        <f t="shared" si="9"/>
        <v>188</v>
      </c>
      <c r="N59" s="117">
        <f t="shared" si="9"/>
        <v>0</v>
      </c>
      <c r="O59" s="242"/>
    </row>
    <row r="60" spans="1:15" s="131" customFormat="1" ht="28.5" customHeight="1">
      <c r="A60" s="130"/>
      <c r="B60" s="116"/>
      <c r="C60" s="115"/>
      <c r="D60" s="119"/>
      <c r="E60" s="119"/>
      <c r="F60" s="119"/>
      <c r="G60" s="119"/>
      <c r="H60" s="119"/>
      <c r="I60" s="119"/>
      <c r="J60" s="119"/>
      <c r="K60" s="119"/>
      <c r="L60" s="119"/>
      <c r="M60" s="119"/>
      <c r="N60" s="119"/>
      <c r="O60" s="242"/>
    </row>
    <row r="61" spans="1:15" s="135" customFormat="1" ht="33.75" customHeight="1" thickBot="1">
      <c r="A61" s="98" t="s">
        <v>28</v>
      </c>
      <c r="B61" s="133"/>
      <c r="C61" s="133"/>
      <c r="D61" s="133"/>
      <c r="E61" s="133"/>
      <c r="F61" s="133"/>
      <c r="G61" s="133"/>
      <c r="H61" s="134"/>
      <c r="I61" s="134"/>
      <c r="J61" s="134"/>
      <c r="K61" s="134"/>
      <c r="L61" s="134"/>
      <c r="M61" s="134"/>
      <c r="N61" s="129" t="s">
        <v>16</v>
      </c>
      <c r="O61" s="118"/>
    </row>
    <row r="62" spans="1:15" ht="48" thickBot="1">
      <c r="A62" s="224" t="s">
        <v>17</v>
      </c>
      <c r="B62" s="225" t="s">
        <v>19</v>
      </c>
      <c r="C62" s="226" t="s">
        <v>47</v>
      </c>
      <c r="D62" s="225" t="s">
        <v>185</v>
      </c>
      <c r="E62" s="227" t="s">
        <v>44</v>
      </c>
      <c r="F62" s="228" t="s">
        <v>395</v>
      </c>
      <c r="G62" s="228" t="s">
        <v>93</v>
      </c>
      <c r="H62" s="387" t="s">
        <v>396</v>
      </c>
      <c r="I62" s="108" t="s">
        <v>388</v>
      </c>
      <c r="J62" s="109" t="s">
        <v>45</v>
      </c>
      <c r="K62" s="229" t="s">
        <v>392</v>
      </c>
      <c r="L62" s="228" t="s">
        <v>173</v>
      </c>
      <c r="M62" s="228" t="s">
        <v>21</v>
      </c>
      <c r="N62" s="230" t="s">
        <v>31</v>
      </c>
      <c r="O62" s="106"/>
    </row>
    <row r="63" spans="1:15" s="18" customFormat="1" ht="60.75" customHeight="1">
      <c r="A63" s="325">
        <v>1</v>
      </c>
      <c r="B63" s="314" t="s">
        <v>189</v>
      </c>
      <c r="C63" s="312" t="s">
        <v>190</v>
      </c>
      <c r="D63" s="298">
        <v>25</v>
      </c>
      <c r="E63" s="298">
        <f>D63</f>
        <v>25</v>
      </c>
      <c r="F63" s="298">
        <v>0</v>
      </c>
      <c r="G63" s="298">
        <f>E63-F63</f>
        <v>25</v>
      </c>
      <c r="H63" s="393">
        <f>SUM(J63:N63)</f>
        <v>25</v>
      </c>
      <c r="I63" s="299"/>
      <c r="J63" s="299"/>
      <c r="K63" s="299"/>
      <c r="L63" s="300">
        <v>0</v>
      </c>
      <c r="M63" s="299">
        <v>25</v>
      </c>
      <c r="N63" s="299">
        <v>0</v>
      </c>
      <c r="O63" s="454" t="s">
        <v>29</v>
      </c>
    </row>
    <row r="64" spans="1:15" s="18" customFormat="1" ht="59.25" customHeight="1">
      <c r="A64" s="325">
        <v>2</v>
      </c>
      <c r="B64" s="311" t="s">
        <v>209</v>
      </c>
      <c r="C64" s="286" t="s">
        <v>211</v>
      </c>
      <c r="D64" s="298">
        <f>4051+9900</f>
        <v>13951</v>
      </c>
      <c r="E64" s="298">
        <f aca="true" t="shared" si="10" ref="E64:E75">D64</f>
        <v>13951</v>
      </c>
      <c r="F64" s="298">
        <v>4051</v>
      </c>
      <c r="G64" s="298">
        <f aca="true" t="shared" si="11" ref="G64:G69">E64-F64</f>
        <v>9900</v>
      </c>
      <c r="H64" s="393">
        <f>SUM(J64:N64)</f>
        <v>9900</v>
      </c>
      <c r="I64" s="299"/>
      <c r="J64" s="299"/>
      <c r="K64" s="299"/>
      <c r="L64" s="300">
        <v>0</v>
      </c>
      <c r="M64" s="299">
        <v>9900</v>
      </c>
      <c r="N64" s="299">
        <v>0</v>
      </c>
      <c r="O64" s="454" t="s">
        <v>54</v>
      </c>
    </row>
    <row r="65" spans="1:15" s="18" customFormat="1" ht="59.25" customHeight="1">
      <c r="A65" s="325">
        <v>3</v>
      </c>
      <c r="B65" s="311" t="s">
        <v>511</v>
      </c>
      <c r="C65" s="286" t="s">
        <v>211</v>
      </c>
      <c r="D65" s="298">
        <v>1</v>
      </c>
      <c r="E65" s="298">
        <f>D65</f>
        <v>1</v>
      </c>
      <c r="F65" s="298">
        <v>0</v>
      </c>
      <c r="G65" s="298">
        <f>E65-F65</f>
        <v>1</v>
      </c>
      <c r="H65" s="393">
        <f>SUM(J65:N65)</f>
        <v>1</v>
      </c>
      <c r="I65" s="299"/>
      <c r="J65" s="299"/>
      <c r="K65" s="299"/>
      <c r="L65" s="300">
        <v>0</v>
      </c>
      <c r="M65" s="299">
        <v>1</v>
      </c>
      <c r="N65" s="299">
        <v>0</v>
      </c>
      <c r="O65" s="454" t="s">
        <v>54</v>
      </c>
    </row>
    <row r="66" spans="1:15" s="18" customFormat="1" ht="59.25" customHeight="1">
      <c r="A66" s="325">
        <v>4</v>
      </c>
      <c r="B66" s="314" t="s">
        <v>503</v>
      </c>
      <c r="C66" s="286" t="s">
        <v>211</v>
      </c>
      <c r="D66" s="298">
        <v>266</v>
      </c>
      <c r="E66" s="298">
        <f t="shared" si="10"/>
        <v>266</v>
      </c>
      <c r="F66" s="298">
        <v>0</v>
      </c>
      <c r="G66" s="298">
        <f t="shared" si="11"/>
        <v>266</v>
      </c>
      <c r="H66" s="393">
        <f aca="true" t="shared" si="12" ref="H66:H71">SUM(I66:N66)</f>
        <v>266</v>
      </c>
      <c r="I66" s="299"/>
      <c r="J66" s="299"/>
      <c r="K66" s="299"/>
      <c r="L66" s="300"/>
      <c r="M66" s="299">
        <v>266</v>
      </c>
      <c r="N66" s="299">
        <v>0</v>
      </c>
      <c r="O66" s="454" t="s">
        <v>29</v>
      </c>
    </row>
    <row r="67" spans="1:15" s="18" customFormat="1" ht="59.25" customHeight="1">
      <c r="A67" s="325">
        <v>5</v>
      </c>
      <c r="B67" s="314" t="s">
        <v>502</v>
      </c>
      <c r="C67" s="286" t="s">
        <v>211</v>
      </c>
      <c r="D67" s="298">
        <v>550</v>
      </c>
      <c r="E67" s="298">
        <f>D67</f>
        <v>550</v>
      </c>
      <c r="F67" s="298">
        <v>0</v>
      </c>
      <c r="G67" s="298">
        <f>E67-F67</f>
        <v>550</v>
      </c>
      <c r="H67" s="393">
        <f t="shared" si="12"/>
        <v>550</v>
      </c>
      <c r="I67" s="299"/>
      <c r="J67" s="299"/>
      <c r="K67" s="299"/>
      <c r="L67" s="300"/>
      <c r="M67" s="299">
        <v>550</v>
      </c>
      <c r="N67" s="299">
        <v>0</v>
      </c>
      <c r="O67" s="454" t="s">
        <v>29</v>
      </c>
    </row>
    <row r="68" spans="1:15" s="18" customFormat="1" ht="53.25" customHeight="1">
      <c r="A68" s="325">
        <v>6</v>
      </c>
      <c r="B68" s="314" t="s">
        <v>557</v>
      </c>
      <c r="C68" s="286" t="s">
        <v>211</v>
      </c>
      <c r="D68" s="298">
        <v>111</v>
      </c>
      <c r="E68" s="298">
        <f t="shared" si="10"/>
        <v>111</v>
      </c>
      <c r="F68" s="298">
        <v>0</v>
      </c>
      <c r="G68" s="298">
        <f t="shared" si="11"/>
        <v>111</v>
      </c>
      <c r="H68" s="393">
        <f t="shared" si="12"/>
        <v>111</v>
      </c>
      <c r="I68" s="299"/>
      <c r="J68" s="299"/>
      <c r="K68" s="299"/>
      <c r="L68" s="300"/>
      <c r="M68" s="299">
        <v>111</v>
      </c>
      <c r="N68" s="299">
        <v>0</v>
      </c>
      <c r="O68" s="454" t="s">
        <v>54</v>
      </c>
    </row>
    <row r="69" spans="1:15" s="18" customFormat="1" ht="51" customHeight="1">
      <c r="A69" s="325">
        <v>7</v>
      </c>
      <c r="B69" s="314" t="s">
        <v>505</v>
      </c>
      <c r="C69" s="286" t="s">
        <v>211</v>
      </c>
      <c r="D69" s="298">
        <v>300</v>
      </c>
      <c r="E69" s="298">
        <f t="shared" si="10"/>
        <v>300</v>
      </c>
      <c r="F69" s="298">
        <v>0</v>
      </c>
      <c r="G69" s="298">
        <f t="shared" si="11"/>
        <v>300</v>
      </c>
      <c r="H69" s="393">
        <f t="shared" si="12"/>
        <v>300</v>
      </c>
      <c r="I69" s="299"/>
      <c r="J69" s="299"/>
      <c r="K69" s="299"/>
      <c r="L69" s="300"/>
      <c r="M69" s="299">
        <v>300</v>
      </c>
      <c r="N69" s="299">
        <v>0</v>
      </c>
      <c r="O69" s="454" t="s">
        <v>54</v>
      </c>
    </row>
    <row r="70" spans="1:15" s="18" customFormat="1" ht="54" customHeight="1">
      <c r="A70" s="325">
        <v>8</v>
      </c>
      <c r="B70" s="314" t="s">
        <v>508</v>
      </c>
      <c r="C70" s="286" t="s">
        <v>211</v>
      </c>
      <c r="D70" s="298">
        <v>300</v>
      </c>
      <c r="E70" s="298">
        <f>D70</f>
        <v>300</v>
      </c>
      <c r="F70" s="298">
        <v>0</v>
      </c>
      <c r="G70" s="298">
        <f aca="true" t="shared" si="13" ref="G70:G75">E70-F70</f>
        <v>300</v>
      </c>
      <c r="H70" s="393">
        <f t="shared" si="12"/>
        <v>300</v>
      </c>
      <c r="I70" s="299"/>
      <c r="J70" s="299"/>
      <c r="K70" s="299"/>
      <c r="L70" s="300"/>
      <c r="M70" s="299">
        <v>300</v>
      </c>
      <c r="N70" s="299">
        <v>0</v>
      </c>
      <c r="O70" s="454" t="s">
        <v>54</v>
      </c>
    </row>
    <row r="71" spans="1:15" s="18" customFormat="1" ht="58.5" customHeight="1">
      <c r="A71" s="325">
        <v>9</v>
      </c>
      <c r="B71" s="314" t="s">
        <v>509</v>
      </c>
      <c r="C71" s="286" t="s">
        <v>211</v>
      </c>
      <c r="D71" s="298">
        <v>3000</v>
      </c>
      <c r="E71" s="298">
        <f>D71</f>
        <v>3000</v>
      </c>
      <c r="F71" s="298">
        <v>0</v>
      </c>
      <c r="G71" s="298">
        <f t="shared" si="13"/>
        <v>3000</v>
      </c>
      <c r="H71" s="393">
        <f t="shared" si="12"/>
        <v>3000</v>
      </c>
      <c r="I71" s="299"/>
      <c r="J71" s="299"/>
      <c r="K71" s="299"/>
      <c r="L71" s="300"/>
      <c r="M71" s="299">
        <v>3000</v>
      </c>
      <c r="N71" s="299">
        <v>0</v>
      </c>
      <c r="O71" s="454" t="s">
        <v>54</v>
      </c>
    </row>
    <row r="72" spans="1:15" s="18" customFormat="1" ht="61.5" customHeight="1">
      <c r="A72" s="325">
        <v>10</v>
      </c>
      <c r="B72" s="311" t="s">
        <v>214</v>
      </c>
      <c r="C72" s="286" t="s">
        <v>211</v>
      </c>
      <c r="D72" s="298">
        <v>17</v>
      </c>
      <c r="E72" s="298">
        <f t="shared" si="10"/>
        <v>17</v>
      </c>
      <c r="F72" s="298">
        <v>0</v>
      </c>
      <c r="G72" s="298">
        <f t="shared" si="13"/>
        <v>17</v>
      </c>
      <c r="H72" s="393">
        <f>SUM(J72:N72)</f>
        <v>17</v>
      </c>
      <c r="I72" s="299"/>
      <c r="J72" s="299"/>
      <c r="K72" s="299"/>
      <c r="L72" s="300">
        <v>0</v>
      </c>
      <c r="M72" s="299">
        <v>17</v>
      </c>
      <c r="N72" s="299">
        <v>0</v>
      </c>
      <c r="O72" s="454" t="s">
        <v>29</v>
      </c>
    </row>
    <row r="73" spans="1:15" s="18" customFormat="1" ht="66" customHeight="1">
      <c r="A73" s="325">
        <v>11</v>
      </c>
      <c r="B73" s="311" t="s">
        <v>504</v>
      </c>
      <c r="C73" s="286" t="s">
        <v>211</v>
      </c>
      <c r="D73" s="298">
        <v>315</v>
      </c>
      <c r="E73" s="298">
        <f t="shared" si="10"/>
        <v>315</v>
      </c>
      <c r="F73" s="298">
        <v>0</v>
      </c>
      <c r="G73" s="298">
        <f t="shared" si="13"/>
        <v>315</v>
      </c>
      <c r="H73" s="393">
        <f>SUM(J73:N73)</f>
        <v>315</v>
      </c>
      <c r="I73" s="299"/>
      <c r="J73" s="299"/>
      <c r="K73" s="299"/>
      <c r="L73" s="300">
        <v>0</v>
      </c>
      <c r="M73" s="299">
        <v>315</v>
      </c>
      <c r="N73" s="299">
        <v>0</v>
      </c>
      <c r="O73" s="454" t="s">
        <v>54</v>
      </c>
    </row>
    <row r="74" spans="1:15" s="18" customFormat="1" ht="66" customHeight="1">
      <c r="A74" s="325">
        <v>12</v>
      </c>
      <c r="B74" s="311" t="s">
        <v>213</v>
      </c>
      <c r="C74" s="286" t="s">
        <v>211</v>
      </c>
      <c r="D74" s="298">
        <v>158</v>
      </c>
      <c r="E74" s="298">
        <f>D74</f>
        <v>158</v>
      </c>
      <c r="F74" s="298">
        <v>0</v>
      </c>
      <c r="G74" s="298">
        <f t="shared" si="13"/>
        <v>158</v>
      </c>
      <c r="H74" s="393">
        <f>SUM(J74:N74)</f>
        <v>158</v>
      </c>
      <c r="I74" s="299"/>
      <c r="J74" s="299"/>
      <c r="K74" s="299"/>
      <c r="L74" s="300">
        <v>0</v>
      </c>
      <c r="M74" s="299">
        <v>158</v>
      </c>
      <c r="N74" s="299">
        <v>0</v>
      </c>
      <c r="O74" s="454" t="s">
        <v>54</v>
      </c>
    </row>
    <row r="75" spans="1:15" s="18" customFormat="1" ht="64.5" customHeight="1">
      <c r="A75" s="325">
        <v>13</v>
      </c>
      <c r="B75" s="311" t="s">
        <v>218</v>
      </c>
      <c r="C75" s="286" t="s">
        <v>211</v>
      </c>
      <c r="D75" s="298">
        <f>1837+674</f>
        <v>2511</v>
      </c>
      <c r="E75" s="298">
        <f t="shared" si="10"/>
        <v>2511</v>
      </c>
      <c r="F75" s="298">
        <f>2510</f>
        <v>2510</v>
      </c>
      <c r="G75" s="298">
        <f t="shared" si="13"/>
        <v>1</v>
      </c>
      <c r="H75" s="393">
        <f>SUM(J75:N75)</f>
        <v>1</v>
      </c>
      <c r="I75" s="299"/>
      <c r="J75" s="299"/>
      <c r="K75" s="299"/>
      <c r="L75" s="300">
        <v>0</v>
      </c>
      <c r="M75" s="299">
        <v>1</v>
      </c>
      <c r="N75" s="299">
        <v>0</v>
      </c>
      <c r="O75" s="454" t="s">
        <v>54</v>
      </c>
    </row>
    <row r="76" spans="1:15" ht="27" customHeight="1">
      <c r="A76" s="137"/>
      <c r="B76" s="134"/>
      <c r="C76" s="138" t="s">
        <v>18</v>
      </c>
      <c r="D76" s="139">
        <f aca="true" t="shared" si="14" ref="D76:N76">SUM(D63:D75)</f>
        <v>21505</v>
      </c>
      <c r="E76" s="139">
        <f t="shared" si="14"/>
        <v>21505</v>
      </c>
      <c r="F76" s="139">
        <f t="shared" si="14"/>
        <v>6561</v>
      </c>
      <c r="G76" s="139">
        <f t="shared" si="14"/>
        <v>14944</v>
      </c>
      <c r="H76" s="394">
        <f t="shared" si="14"/>
        <v>14944</v>
      </c>
      <c r="I76" s="139">
        <f t="shared" si="14"/>
        <v>0</v>
      </c>
      <c r="J76" s="139">
        <f t="shared" si="14"/>
        <v>0</v>
      </c>
      <c r="K76" s="139">
        <f t="shared" si="14"/>
        <v>0</v>
      </c>
      <c r="L76" s="139">
        <f t="shared" si="14"/>
        <v>0</v>
      </c>
      <c r="M76" s="139">
        <f t="shared" si="14"/>
        <v>14944</v>
      </c>
      <c r="N76" s="139">
        <f t="shared" si="14"/>
        <v>0</v>
      </c>
      <c r="O76" s="140"/>
    </row>
    <row r="77" spans="1:15" ht="15" customHeight="1">
      <c r="A77" s="137"/>
      <c r="B77" s="134"/>
      <c r="C77" s="138"/>
      <c r="D77" s="141"/>
      <c r="E77" s="141"/>
      <c r="F77" s="141"/>
      <c r="G77" s="141"/>
      <c r="H77" s="141"/>
      <c r="I77" s="141"/>
      <c r="J77" s="141"/>
      <c r="K77" s="141"/>
      <c r="L77" s="141"/>
      <c r="M77" s="141"/>
      <c r="N77" s="141"/>
      <c r="O77" s="140"/>
    </row>
    <row r="78" spans="1:14" s="94" customFormat="1" ht="20.25" customHeight="1" hidden="1" thickBot="1">
      <c r="A78" s="90" t="s">
        <v>58</v>
      </c>
      <c r="C78" s="91"/>
      <c r="D78" s="13"/>
      <c r="E78" s="92"/>
      <c r="F78" s="13"/>
      <c r="G78" s="13"/>
      <c r="H78" s="13"/>
      <c r="I78" s="13"/>
      <c r="J78" s="13"/>
      <c r="K78" s="13"/>
      <c r="M78" s="142"/>
      <c r="N78" s="93" t="s">
        <v>16</v>
      </c>
    </row>
    <row r="79" spans="1:15" ht="48.75" customHeight="1" hidden="1" thickBot="1">
      <c r="A79" s="224" t="s">
        <v>17</v>
      </c>
      <c r="B79" s="225" t="s">
        <v>19</v>
      </c>
      <c r="C79" s="226" t="s">
        <v>47</v>
      </c>
      <c r="D79" s="225" t="s">
        <v>185</v>
      </c>
      <c r="E79" s="227" t="s">
        <v>44</v>
      </c>
      <c r="F79" s="228" t="s">
        <v>186</v>
      </c>
      <c r="G79" s="228" t="s">
        <v>93</v>
      </c>
      <c r="H79" s="228" t="s">
        <v>187</v>
      </c>
      <c r="I79" s="108" t="s">
        <v>46</v>
      </c>
      <c r="J79" s="109" t="s">
        <v>45</v>
      </c>
      <c r="K79" s="229" t="s">
        <v>72</v>
      </c>
      <c r="L79" s="228" t="s">
        <v>173</v>
      </c>
      <c r="M79" s="228" t="s">
        <v>21</v>
      </c>
      <c r="N79" s="230" t="s">
        <v>31</v>
      </c>
      <c r="O79" s="106"/>
    </row>
    <row r="80" spans="1:15" ht="15" customHeight="1" hidden="1">
      <c r="A80" s="127">
        <v>1</v>
      </c>
      <c r="B80" s="165">
        <v>0</v>
      </c>
      <c r="C80" s="111"/>
      <c r="D80" s="112">
        <v>0</v>
      </c>
      <c r="E80" s="112">
        <f>D80</f>
        <v>0</v>
      </c>
      <c r="F80" s="112">
        <v>0</v>
      </c>
      <c r="G80" s="112">
        <f>E80-F80</f>
        <v>0</v>
      </c>
      <c r="H80" s="113">
        <f>SUM(J80:N80)</f>
        <v>0</v>
      </c>
      <c r="I80" s="114"/>
      <c r="J80" s="114"/>
      <c r="K80" s="114">
        <v>0</v>
      </c>
      <c r="L80" s="136"/>
      <c r="M80" s="114">
        <v>0</v>
      </c>
      <c r="N80" s="114">
        <v>0</v>
      </c>
      <c r="O80" s="96" t="s">
        <v>29</v>
      </c>
    </row>
    <row r="81" spans="1:15" ht="15" customHeight="1" hidden="1">
      <c r="A81" s="175"/>
      <c r="B81" s="176"/>
      <c r="C81" s="115" t="s">
        <v>18</v>
      </c>
      <c r="D81" s="117">
        <f>SUM(D80:D80)</f>
        <v>0</v>
      </c>
      <c r="E81" s="117">
        <f aca="true" t="shared" si="15" ref="E81:N81">SUM(E80:E80)</f>
        <v>0</v>
      </c>
      <c r="F81" s="117">
        <f t="shared" si="15"/>
        <v>0</v>
      </c>
      <c r="G81" s="117">
        <f t="shared" si="15"/>
        <v>0</v>
      </c>
      <c r="H81" s="117">
        <f t="shared" si="15"/>
        <v>0</v>
      </c>
      <c r="I81" s="117">
        <f t="shared" si="15"/>
        <v>0</v>
      </c>
      <c r="J81" s="117">
        <f t="shared" si="15"/>
        <v>0</v>
      </c>
      <c r="K81" s="117">
        <f t="shared" si="15"/>
        <v>0</v>
      </c>
      <c r="L81" s="117">
        <f t="shared" si="15"/>
        <v>0</v>
      </c>
      <c r="M81" s="117">
        <f t="shared" si="15"/>
        <v>0</v>
      </c>
      <c r="N81" s="117">
        <f t="shared" si="15"/>
        <v>0</v>
      </c>
      <c r="O81" s="120"/>
    </row>
    <row r="82" spans="1:15" s="95" customFormat="1" ht="27.75" customHeight="1" thickBot="1">
      <c r="A82" s="119" t="s">
        <v>100</v>
      </c>
      <c r="B82" s="116"/>
      <c r="C82" s="115"/>
      <c r="D82" s="119"/>
      <c r="E82" s="119"/>
      <c r="F82" s="119"/>
      <c r="G82" s="119"/>
      <c r="H82" s="119"/>
      <c r="I82" s="119"/>
      <c r="J82" s="119"/>
      <c r="K82" s="119"/>
      <c r="L82" s="119"/>
      <c r="M82" s="119"/>
      <c r="N82" s="93" t="s">
        <v>16</v>
      </c>
      <c r="O82" s="118"/>
    </row>
    <row r="83" spans="1:15" s="95" customFormat="1" ht="48" thickBot="1">
      <c r="A83" s="224" t="s">
        <v>17</v>
      </c>
      <c r="B83" s="225" t="s">
        <v>19</v>
      </c>
      <c r="C83" s="226" t="s">
        <v>47</v>
      </c>
      <c r="D83" s="225" t="s">
        <v>185</v>
      </c>
      <c r="E83" s="227" t="s">
        <v>44</v>
      </c>
      <c r="F83" s="228" t="s">
        <v>395</v>
      </c>
      <c r="G83" s="228" t="s">
        <v>93</v>
      </c>
      <c r="H83" s="387" t="s">
        <v>396</v>
      </c>
      <c r="I83" s="108" t="s">
        <v>388</v>
      </c>
      <c r="J83" s="109" t="s">
        <v>45</v>
      </c>
      <c r="K83" s="229" t="s">
        <v>392</v>
      </c>
      <c r="L83" s="228" t="s">
        <v>173</v>
      </c>
      <c r="M83" s="228" t="s">
        <v>21</v>
      </c>
      <c r="N83" s="230" t="s">
        <v>31</v>
      </c>
      <c r="O83" s="118"/>
    </row>
    <row r="84" spans="1:15" ht="72.75" customHeight="1">
      <c r="A84" s="315">
        <v>1</v>
      </c>
      <c r="B84" s="314" t="s">
        <v>489</v>
      </c>
      <c r="C84" s="312" t="s">
        <v>194</v>
      </c>
      <c r="D84" s="313">
        <v>255</v>
      </c>
      <c r="E84" s="313">
        <f>D84</f>
        <v>255</v>
      </c>
      <c r="F84" s="313">
        <v>0</v>
      </c>
      <c r="G84" s="314">
        <f>E84-F84</f>
        <v>255</v>
      </c>
      <c r="H84" s="390">
        <f>SUM(I84:N84)</f>
        <v>255</v>
      </c>
      <c r="I84" s="313"/>
      <c r="J84" s="313"/>
      <c r="K84" s="313">
        <v>255</v>
      </c>
      <c r="L84" s="313"/>
      <c r="M84" s="313">
        <v>0</v>
      </c>
      <c r="N84" s="313"/>
      <c r="O84" s="453" t="s">
        <v>144</v>
      </c>
    </row>
    <row r="85" spans="1:15" ht="138" customHeight="1">
      <c r="A85" s="315">
        <v>2</v>
      </c>
      <c r="B85" s="314" t="s">
        <v>490</v>
      </c>
      <c r="C85" s="312" t="s">
        <v>194</v>
      </c>
      <c r="D85" s="313">
        <v>441</v>
      </c>
      <c r="E85" s="313">
        <f>D85</f>
        <v>441</v>
      </c>
      <c r="F85" s="313">
        <v>0</v>
      </c>
      <c r="G85" s="314">
        <f>E85-F85</f>
        <v>441</v>
      </c>
      <c r="H85" s="390">
        <f>SUM(I85:N85)</f>
        <v>441</v>
      </c>
      <c r="I85" s="313"/>
      <c r="J85" s="313"/>
      <c r="K85" s="313">
        <v>441</v>
      </c>
      <c r="L85" s="313"/>
      <c r="M85" s="313">
        <v>0</v>
      </c>
      <c r="N85" s="313"/>
      <c r="O85" s="453" t="s">
        <v>144</v>
      </c>
    </row>
    <row r="86" spans="1:15" ht="128.25" customHeight="1">
      <c r="A86" s="315">
        <v>3</v>
      </c>
      <c r="B86" s="314" t="s">
        <v>491</v>
      </c>
      <c r="C86" s="312" t="s">
        <v>194</v>
      </c>
      <c r="D86" s="313">
        <v>885</v>
      </c>
      <c r="E86" s="313">
        <f>D86</f>
        <v>885</v>
      </c>
      <c r="F86" s="313">
        <v>0</v>
      </c>
      <c r="G86" s="314">
        <f>E86-F86</f>
        <v>885</v>
      </c>
      <c r="H86" s="390">
        <f>SUM(I86:N86)</f>
        <v>885</v>
      </c>
      <c r="I86" s="313"/>
      <c r="J86" s="313"/>
      <c r="K86" s="313">
        <v>885</v>
      </c>
      <c r="L86" s="313"/>
      <c r="M86" s="313">
        <v>0</v>
      </c>
      <c r="N86" s="313"/>
      <c r="O86" s="453" t="s">
        <v>144</v>
      </c>
    </row>
    <row r="87" spans="1:15" s="95" customFormat="1" ht="23.25" customHeight="1">
      <c r="A87" s="115"/>
      <c r="B87" s="115"/>
      <c r="C87" s="115" t="s">
        <v>18</v>
      </c>
      <c r="D87" s="117">
        <f aca="true" t="shared" si="16" ref="D87:N87">SUM(D84:D86)</f>
        <v>1581</v>
      </c>
      <c r="E87" s="117">
        <f t="shared" si="16"/>
        <v>1581</v>
      </c>
      <c r="F87" s="117">
        <f t="shared" si="16"/>
        <v>0</v>
      </c>
      <c r="G87" s="117">
        <f t="shared" si="16"/>
        <v>1581</v>
      </c>
      <c r="H87" s="395">
        <f t="shared" si="16"/>
        <v>1581</v>
      </c>
      <c r="I87" s="117">
        <f t="shared" si="16"/>
        <v>0</v>
      </c>
      <c r="J87" s="117">
        <f t="shared" si="16"/>
        <v>0</v>
      </c>
      <c r="K87" s="117">
        <f t="shared" si="16"/>
        <v>1581</v>
      </c>
      <c r="L87" s="117">
        <f t="shared" si="16"/>
        <v>0</v>
      </c>
      <c r="M87" s="117">
        <f t="shared" si="16"/>
        <v>0</v>
      </c>
      <c r="N87" s="117">
        <f t="shared" si="16"/>
        <v>0</v>
      </c>
      <c r="O87" s="120"/>
    </row>
    <row r="88" spans="1:15" s="95" customFormat="1" ht="21" customHeight="1">
      <c r="A88" s="115"/>
      <c r="B88" s="115"/>
      <c r="C88" s="115"/>
      <c r="D88" s="119"/>
      <c r="E88" s="119"/>
      <c r="F88" s="119"/>
      <c r="G88" s="119"/>
      <c r="H88" s="119"/>
      <c r="I88" s="119"/>
      <c r="J88" s="119"/>
      <c r="K88" s="119"/>
      <c r="L88" s="119"/>
      <c r="M88" s="119"/>
      <c r="N88" s="119"/>
      <c r="O88" s="120"/>
    </row>
    <row r="89" spans="1:15" s="95" customFormat="1" ht="27" customHeight="1" thickBot="1">
      <c r="A89" s="119" t="s">
        <v>105</v>
      </c>
      <c r="B89" s="116"/>
      <c r="C89" s="115"/>
      <c r="D89" s="119"/>
      <c r="E89" s="119"/>
      <c r="F89" s="119"/>
      <c r="G89" s="119"/>
      <c r="H89" s="119"/>
      <c r="I89" s="119"/>
      <c r="J89" s="119"/>
      <c r="K89" s="119"/>
      <c r="L89" s="119"/>
      <c r="M89" s="119"/>
      <c r="N89" s="119"/>
      <c r="O89" s="118"/>
    </row>
    <row r="90" spans="1:15" s="95" customFormat="1" ht="49.5" customHeight="1" thickBot="1">
      <c r="A90" s="224" t="s">
        <v>17</v>
      </c>
      <c r="B90" s="225" t="s">
        <v>19</v>
      </c>
      <c r="C90" s="226" t="s">
        <v>47</v>
      </c>
      <c r="D90" s="225" t="s">
        <v>185</v>
      </c>
      <c r="E90" s="227" t="s">
        <v>44</v>
      </c>
      <c r="F90" s="228" t="s">
        <v>395</v>
      </c>
      <c r="G90" s="228" t="s">
        <v>93</v>
      </c>
      <c r="H90" s="387" t="s">
        <v>396</v>
      </c>
      <c r="I90" s="108" t="s">
        <v>388</v>
      </c>
      <c r="J90" s="109" t="s">
        <v>45</v>
      </c>
      <c r="K90" s="229" t="s">
        <v>392</v>
      </c>
      <c r="L90" s="228" t="s">
        <v>173</v>
      </c>
      <c r="M90" s="228" t="s">
        <v>21</v>
      </c>
      <c r="N90" s="230" t="s">
        <v>31</v>
      </c>
      <c r="O90" s="118"/>
    </row>
    <row r="91" spans="1:15" s="95" customFormat="1" ht="65.25" customHeight="1">
      <c r="A91" s="315">
        <v>1</v>
      </c>
      <c r="B91" s="314" t="s">
        <v>414</v>
      </c>
      <c r="C91" s="312" t="s">
        <v>219</v>
      </c>
      <c r="D91" s="298">
        <v>17</v>
      </c>
      <c r="E91" s="298">
        <f>D91</f>
        <v>17</v>
      </c>
      <c r="F91" s="298">
        <v>0</v>
      </c>
      <c r="G91" s="298">
        <f>E91-F91</f>
        <v>17</v>
      </c>
      <c r="H91" s="393">
        <f>SUM(J91:N91)</f>
        <v>17</v>
      </c>
      <c r="I91" s="299"/>
      <c r="J91" s="299"/>
      <c r="K91" s="299">
        <v>17</v>
      </c>
      <c r="L91" s="300"/>
      <c r="M91" s="313">
        <v>0</v>
      </c>
      <c r="N91" s="299"/>
      <c r="O91" s="454" t="s">
        <v>54</v>
      </c>
    </row>
    <row r="92" spans="1:15" s="95" customFormat="1" ht="81" customHeight="1">
      <c r="A92" s="315">
        <v>2</v>
      </c>
      <c r="B92" s="314" t="s">
        <v>417</v>
      </c>
      <c r="C92" s="312" t="s">
        <v>219</v>
      </c>
      <c r="D92" s="298">
        <v>41</v>
      </c>
      <c r="E92" s="298">
        <f>D92</f>
        <v>41</v>
      </c>
      <c r="F92" s="298">
        <v>0</v>
      </c>
      <c r="G92" s="298">
        <f>E92-F92</f>
        <v>41</v>
      </c>
      <c r="H92" s="393">
        <f>SUM(J92:N92)</f>
        <v>41</v>
      </c>
      <c r="I92" s="299"/>
      <c r="J92" s="299"/>
      <c r="K92" s="299">
        <v>41</v>
      </c>
      <c r="L92" s="300"/>
      <c r="M92" s="313">
        <v>0</v>
      </c>
      <c r="N92" s="299"/>
      <c r="O92" s="454" t="s">
        <v>54</v>
      </c>
    </row>
    <row r="93" spans="1:15" s="95" customFormat="1" ht="62.25" customHeight="1">
      <c r="A93" s="315">
        <v>3</v>
      </c>
      <c r="B93" s="314" t="s">
        <v>418</v>
      </c>
      <c r="C93" s="312" t="s">
        <v>219</v>
      </c>
      <c r="D93" s="298">
        <v>19</v>
      </c>
      <c r="E93" s="298">
        <f>D93</f>
        <v>19</v>
      </c>
      <c r="F93" s="298">
        <v>0</v>
      </c>
      <c r="G93" s="298">
        <f>E93-F93</f>
        <v>19</v>
      </c>
      <c r="H93" s="393">
        <f>SUM(J93:N93)</f>
        <v>19</v>
      </c>
      <c r="I93" s="299"/>
      <c r="J93" s="299"/>
      <c r="K93" s="299">
        <v>19</v>
      </c>
      <c r="L93" s="300"/>
      <c r="M93" s="313">
        <v>0</v>
      </c>
      <c r="N93" s="299"/>
      <c r="O93" s="454" t="s">
        <v>54</v>
      </c>
    </row>
    <row r="94" spans="1:15" s="95" customFormat="1" ht="39" customHeight="1">
      <c r="A94" s="115"/>
      <c r="B94" s="115"/>
      <c r="C94" s="115" t="s">
        <v>18</v>
      </c>
      <c r="D94" s="117">
        <f aca="true" t="shared" si="17" ref="D94:N94">SUM(D91:D93)</f>
        <v>77</v>
      </c>
      <c r="E94" s="117">
        <f t="shared" si="17"/>
        <v>77</v>
      </c>
      <c r="F94" s="117">
        <f t="shared" si="17"/>
        <v>0</v>
      </c>
      <c r="G94" s="117">
        <f t="shared" si="17"/>
        <v>77</v>
      </c>
      <c r="H94" s="395">
        <f t="shared" si="17"/>
        <v>77</v>
      </c>
      <c r="I94" s="117">
        <f t="shared" si="17"/>
        <v>0</v>
      </c>
      <c r="J94" s="117">
        <f t="shared" si="17"/>
        <v>0</v>
      </c>
      <c r="K94" s="117">
        <f t="shared" si="17"/>
        <v>77</v>
      </c>
      <c r="L94" s="117">
        <f t="shared" si="17"/>
        <v>0</v>
      </c>
      <c r="M94" s="117">
        <f t="shared" si="17"/>
        <v>0</v>
      </c>
      <c r="N94" s="117">
        <f t="shared" si="17"/>
        <v>0</v>
      </c>
      <c r="O94" s="120"/>
    </row>
    <row r="95" spans="1:15" s="95" customFormat="1" ht="39" customHeight="1">
      <c r="A95" s="115"/>
      <c r="B95" s="115"/>
      <c r="C95" s="115"/>
      <c r="D95" s="119"/>
      <c r="E95" s="119"/>
      <c r="F95" s="119"/>
      <c r="G95" s="119"/>
      <c r="H95" s="119"/>
      <c r="I95" s="119"/>
      <c r="J95" s="119"/>
      <c r="K95" s="119"/>
      <c r="L95" s="119"/>
      <c r="M95" s="119"/>
      <c r="N95" s="119"/>
      <c r="O95" s="120"/>
    </row>
    <row r="96" spans="1:15" s="95" customFormat="1" ht="39" customHeight="1">
      <c r="A96" s="115"/>
      <c r="B96" s="115"/>
      <c r="C96" s="115"/>
      <c r="D96" s="119"/>
      <c r="E96" s="119"/>
      <c r="F96" s="119"/>
      <c r="G96" s="119"/>
      <c r="H96" s="119"/>
      <c r="I96" s="119"/>
      <c r="J96" s="119"/>
      <c r="K96" s="119"/>
      <c r="L96" s="119"/>
      <c r="M96" s="119"/>
      <c r="N96" s="119"/>
      <c r="O96" s="120"/>
    </row>
    <row r="97" spans="1:15" s="95" customFormat="1" ht="40.5" customHeight="1" thickBot="1">
      <c r="A97" s="90" t="s">
        <v>71</v>
      </c>
      <c r="B97" s="94"/>
      <c r="C97" s="91"/>
      <c r="D97" s="13"/>
      <c r="E97" s="92"/>
      <c r="F97" s="13"/>
      <c r="G97" s="13"/>
      <c r="H97" s="13"/>
      <c r="I97" s="13"/>
      <c r="J97" s="13"/>
      <c r="K97" s="13"/>
      <c r="L97" s="93" t="s">
        <v>16</v>
      </c>
      <c r="M97" s="86"/>
      <c r="N97" s="94"/>
      <c r="O97" s="143"/>
    </row>
    <row r="98" spans="1:15" s="95" customFormat="1" ht="48" thickBot="1">
      <c r="A98" s="224" t="s">
        <v>17</v>
      </c>
      <c r="B98" s="225" t="s">
        <v>19</v>
      </c>
      <c r="C98" s="226" t="s">
        <v>47</v>
      </c>
      <c r="D98" s="225" t="s">
        <v>185</v>
      </c>
      <c r="E98" s="227" t="s">
        <v>44</v>
      </c>
      <c r="F98" s="228" t="s">
        <v>395</v>
      </c>
      <c r="G98" s="228" t="s">
        <v>93</v>
      </c>
      <c r="H98" s="387" t="s">
        <v>396</v>
      </c>
      <c r="I98" s="108" t="s">
        <v>388</v>
      </c>
      <c r="J98" s="109" t="s">
        <v>45</v>
      </c>
      <c r="K98" s="229" t="s">
        <v>392</v>
      </c>
      <c r="L98" s="228" t="s">
        <v>173</v>
      </c>
      <c r="M98" s="228" t="s">
        <v>21</v>
      </c>
      <c r="N98" s="230" t="s">
        <v>31</v>
      </c>
      <c r="O98" s="144"/>
    </row>
    <row r="99" spans="1:15" s="95" customFormat="1" ht="63" customHeight="1">
      <c r="A99" s="325">
        <v>1</v>
      </c>
      <c r="B99" s="349" t="s">
        <v>410</v>
      </c>
      <c r="C99" s="312" t="s">
        <v>219</v>
      </c>
      <c r="D99" s="298">
        <v>4</v>
      </c>
      <c r="E99" s="298">
        <f aca="true" t="shared" si="18" ref="E99:E106">D99</f>
        <v>4</v>
      </c>
      <c r="F99" s="298">
        <v>0</v>
      </c>
      <c r="G99" s="298">
        <f aca="true" t="shared" si="19" ref="G99:G106">E99-F99</f>
        <v>4</v>
      </c>
      <c r="H99" s="393">
        <f aca="true" t="shared" si="20" ref="H99:H106">SUM(J99:N99)</f>
        <v>4</v>
      </c>
      <c r="I99" s="299"/>
      <c r="J99" s="299"/>
      <c r="K99" s="299">
        <v>4</v>
      </c>
      <c r="L99" s="300"/>
      <c r="M99" s="299">
        <v>0</v>
      </c>
      <c r="N99" s="299"/>
      <c r="O99" s="323" t="s">
        <v>54</v>
      </c>
    </row>
    <row r="100" spans="1:15" s="95" customFormat="1" ht="67.5" customHeight="1">
      <c r="A100" s="325">
        <v>2</v>
      </c>
      <c r="B100" s="349" t="s">
        <v>411</v>
      </c>
      <c r="C100" s="312" t="s">
        <v>219</v>
      </c>
      <c r="D100" s="298">
        <v>5</v>
      </c>
      <c r="E100" s="298">
        <f t="shared" si="18"/>
        <v>5</v>
      </c>
      <c r="F100" s="298">
        <v>0</v>
      </c>
      <c r="G100" s="298">
        <f t="shared" si="19"/>
        <v>5</v>
      </c>
      <c r="H100" s="393">
        <f t="shared" si="20"/>
        <v>5</v>
      </c>
      <c r="I100" s="299"/>
      <c r="J100" s="299"/>
      <c r="K100" s="299">
        <v>5</v>
      </c>
      <c r="L100" s="300"/>
      <c r="M100" s="299">
        <v>0</v>
      </c>
      <c r="N100" s="299"/>
      <c r="O100" s="454" t="s">
        <v>54</v>
      </c>
    </row>
    <row r="101" spans="1:15" s="95" customFormat="1" ht="68.25" customHeight="1">
      <c r="A101" s="325">
        <v>3</v>
      </c>
      <c r="B101" s="349" t="s">
        <v>412</v>
      </c>
      <c r="C101" s="312" t="s">
        <v>219</v>
      </c>
      <c r="D101" s="298">
        <v>5</v>
      </c>
      <c r="E101" s="298">
        <f t="shared" si="18"/>
        <v>5</v>
      </c>
      <c r="F101" s="298">
        <v>0</v>
      </c>
      <c r="G101" s="298">
        <f t="shared" si="19"/>
        <v>5</v>
      </c>
      <c r="H101" s="393">
        <f t="shared" si="20"/>
        <v>5</v>
      </c>
      <c r="I101" s="299"/>
      <c r="J101" s="299"/>
      <c r="K101" s="299">
        <v>5</v>
      </c>
      <c r="L101" s="300"/>
      <c r="M101" s="299">
        <v>0</v>
      </c>
      <c r="N101" s="299"/>
      <c r="O101" s="454" t="s">
        <v>54</v>
      </c>
    </row>
    <row r="102" spans="1:15" s="95" customFormat="1" ht="65.25" customHeight="1">
      <c r="A102" s="325">
        <v>4</v>
      </c>
      <c r="B102" s="349" t="s">
        <v>416</v>
      </c>
      <c r="C102" s="312" t="s">
        <v>219</v>
      </c>
      <c r="D102" s="298">
        <v>8</v>
      </c>
      <c r="E102" s="298">
        <f t="shared" si="18"/>
        <v>8</v>
      </c>
      <c r="F102" s="298">
        <v>0</v>
      </c>
      <c r="G102" s="298">
        <f t="shared" si="19"/>
        <v>8</v>
      </c>
      <c r="H102" s="393">
        <f t="shared" si="20"/>
        <v>8</v>
      </c>
      <c r="I102" s="299"/>
      <c r="J102" s="299"/>
      <c r="K102" s="299">
        <v>8</v>
      </c>
      <c r="L102" s="300"/>
      <c r="M102" s="299">
        <v>0</v>
      </c>
      <c r="N102" s="299"/>
      <c r="O102" s="454" t="s">
        <v>54</v>
      </c>
    </row>
    <row r="103" spans="1:15" s="95" customFormat="1" ht="76.5" customHeight="1">
      <c r="A103" s="325">
        <v>5</v>
      </c>
      <c r="B103" s="349" t="s">
        <v>413</v>
      </c>
      <c r="C103" s="312" t="s">
        <v>219</v>
      </c>
      <c r="D103" s="298">
        <v>5</v>
      </c>
      <c r="E103" s="298">
        <f t="shared" si="18"/>
        <v>5</v>
      </c>
      <c r="F103" s="298">
        <v>0</v>
      </c>
      <c r="G103" s="298">
        <f t="shared" si="19"/>
        <v>5</v>
      </c>
      <c r="H103" s="393">
        <f t="shared" si="20"/>
        <v>5</v>
      </c>
      <c r="I103" s="299"/>
      <c r="J103" s="299"/>
      <c r="K103" s="299">
        <v>5</v>
      </c>
      <c r="L103" s="300"/>
      <c r="M103" s="299">
        <v>0</v>
      </c>
      <c r="N103" s="299"/>
      <c r="O103" s="454" t="s">
        <v>54</v>
      </c>
    </row>
    <row r="104" spans="1:15" s="95" customFormat="1" ht="63" customHeight="1">
      <c r="A104" s="325">
        <v>6</v>
      </c>
      <c r="B104" s="349" t="s">
        <v>224</v>
      </c>
      <c r="C104" s="312" t="s">
        <v>219</v>
      </c>
      <c r="D104" s="298">
        <v>5</v>
      </c>
      <c r="E104" s="298">
        <f t="shared" si="18"/>
        <v>5</v>
      </c>
      <c r="F104" s="298">
        <v>0</v>
      </c>
      <c r="G104" s="298">
        <f t="shared" si="19"/>
        <v>5</v>
      </c>
      <c r="H104" s="393">
        <f t="shared" si="20"/>
        <v>5</v>
      </c>
      <c r="I104" s="299"/>
      <c r="J104" s="299"/>
      <c r="K104" s="299">
        <v>5</v>
      </c>
      <c r="L104" s="300"/>
      <c r="M104" s="299">
        <v>0</v>
      </c>
      <c r="N104" s="299"/>
      <c r="O104" s="454" t="s">
        <v>54</v>
      </c>
    </row>
    <row r="105" spans="1:15" s="95" customFormat="1" ht="74.25" customHeight="1">
      <c r="A105" s="325">
        <v>7</v>
      </c>
      <c r="B105" s="349" t="s">
        <v>565</v>
      </c>
      <c r="C105" s="312" t="s">
        <v>219</v>
      </c>
      <c r="D105" s="298">
        <f>48700+8050</f>
        <v>56750</v>
      </c>
      <c r="E105" s="298">
        <f t="shared" si="18"/>
        <v>56750</v>
      </c>
      <c r="F105" s="298">
        <v>0</v>
      </c>
      <c r="G105" s="298">
        <f t="shared" si="19"/>
        <v>56750</v>
      </c>
      <c r="H105" s="393">
        <f t="shared" si="20"/>
        <v>56750</v>
      </c>
      <c r="I105" s="299"/>
      <c r="J105" s="299"/>
      <c r="K105" s="299">
        <f>48700+8050</f>
        <v>56750</v>
      </c>
      <c r="L105" s="300"/>
      <c r="M105" s="299">
        <v>0</v>
      </c>
      <c r="N105" s="299"/>
      <c r="O105" s="454" t="s">
        <v>29</v>
      </c>
    </row>
    <row r="106" spans="1:15" s="95" customFormat="1" ht="57" customHeight="1">
      <c r="A106" s="325">
        <v>8</v>
      </c>
      <c r="B106" s="349" t="s">
        <v>252</v>
      </c>
      <c r="C106" s="312" t="s">
        <v>219</v>
      </c>
      <c r="D106" s="298">
        <v>2169</v>
      </c>
      <c r="E106" s="298">
        <f t="shared" si="18"/>
        <v>2169</v>
      </c>
      <c r="F106" s="298">
        <v>0</v>
      </c>
      <c r="G106" s="298">
        <f t="shared" si="19"/>
        <v>2169</v>
      </c>
      <c r="H106" s="393">
        <f t="shared" si="20"/>
        <v>2169</v>
      </c>
      <c r="I106" s="299"/>
      <c r="J106" s="299">
        <v>2054</v>
      </c>
      <c r="K106" s="299"/>
      <c r="L106" s="300"/>
      <c r="M106" s="299">
        <v>115</v>
      </c>
      <c r="N106" s="299"/>
      <c r="O106" s="454" t="s">
        <v>54</v>
      </c>
    </row>
    <row r="107" spans="1:15" s="95" customFormat="1" ht="31.5" customHeight="1">
      <c r="A107" s="265"/>
      <c r="B107" s="151"/>
      <c r="C107" s="155" t="s">
        <v>18</v>
      </c>
      <c r="D107" s="123">
        <f aca="true" t="shared" si="21" ref="D107:N107">SUM(D99:D106)</f>
        <v>58951</v>
      </c>
      <c r="E107" s="123">
        <f t="shared" si="21"/>
        <v>58951</v>
      </c>
      <c r="F107" s="123">
        <f t="shared" si="21"/>
        <v>0</v>
      </c>
      <c r="G107" s="123">
        <f t="shared" si="21"/>
        <v>58951</v>
      </c>
      <c r="H107" s="396">
        <f t="shared" si="21"/>
        <v>58951</v>
      </c>
      <c r="I107" s="123">
        <f t="shared" si="21"/>
        <v>0</v>
      </c>
      <c r="J107" s="123">
        <f t="shared" si="21"/>
        <v>2054</v>
      </c>
      <c r="K107" s="123">
        <f t="shared" si="21"/>
        <v>56782</v>
      </c>
      <c r="L107" s="123">
        <f t="shared" si="21"/>
        <v>0</v>
      </c>
      <c r="M107" s="123">
        <f t="shared" si="21"/>
        <v>115</v>
      </c>
      <c r="N107" s="123">
        <f t="shared" si="21"/>
        <v>0</v>
      </c>
      <c r="O107" s="132"/>
    </row>
    <row r="108" spans="1:15" s="95" customFormat="1" ht="17.25" customHeight="1">
      <c r="A108" s="398"/>
      <c r="B108" s="151"/>
      <c r="C108" s="116"/>
      <c r="D108" s="132"/>
      <c r="E108" s="132"/>
      <c r="F108" s="132"/>
      <c r="G108" s="132"/>
      <c r="H108" s="132"/>
      <c r="I108" s="132"/>
      <c r="J108" s="132"/>
      <c r="K108" s="132"/>
      <c r="L108" s="132"/>
      <c r="M108" s="132"/>
      <c r="N108" s="132"/>
      <c r="O108" s="132"/>
    </row>
    <row r="109" spans="1:15" s="95" customFormat="1" ht="25.5" customHeight="1" hidden="1">
      <c r="A109" s="398"/>
      <c r="B109" s="151"/>
      <c r="C109" s="116"/>
      <c r="D109" s="132"/>
      <c r="E109" s="132"/>
      <c r="F109" s="132"/>
      <c r="G109" s="132"/>
      <c r="H109" s="132"/>
      <c r="I109" s="132"/>
      <c r="J109" s="132"/>
      <c r="K109" s="132"/>
      <c r="L109" s="132"/>
      <c r="M109" s="132"/>
      <c r="N109" s="132"/>
      <c r="O109" s="132"/>
    </row>
    <row r="110" spans="1:15" s="95" customFormat="1" ht="36.75" customHeight="1" hidden="1" thickBot="1">
      <c r="A110" s="115" t="s">
        <v>259</v>
      </c>
      <c r="B110" s="116"/>
      <c r="C110" s="115"/>
      <c r="D110" s="119"/>
      <c r="E110" s="119"/>
      <c r="F110" s="119"/>
      <c r="G110" s="119"/>
      <c r="H110" s="119"/>
      <c r="I110" s="119"/>
      <c r="J110" s="119"/>
      <c r="K110" s="119"/>
      <c r="L110" s="119"/>
      <c r="M110" s="119"/>
      <c r="N110" s="107" t="s">
        <v>16</v>
      </c>
      <c r="O110" s="118"/>
    </row>
    <row r="111" spans="1:15" s="95" customFormat="1" ht="51.75" customHeight="1" hidden="1" thickBot="1">
      <c r="A111" s="224" t="s">
        <v>17</v>
      </c>
      <c r="B111" s="225" t="s">
        <v>19</v>
      </c>
      <c r="C111" s="226" t="s">
        <v>47</v>
      </c>
      <c r="D111" s="225" t="s">
        <v>185</v>
      </c>
      <c r="E111" s="227" t="s">
        <v>44</v>
      </c>
      <c r="F111" s="228" t="s">
        <v>395</v>
      </c>
      <c r="G111" s="228" t="s">
        <v>93</v>
      </c>
      <c r="H111" s="228" t="s">
        <v>396</v>
      </c>
      <c r="I111" s="108" t="s">
        <v>388</v>
      </c>
      <c r="J111" s="109" t="s">
        <v>45</v>
      </c>
      <c r="K111" s="229" t="s">
        <v>392</v>
      </c>
      <c r="L111" s="228" t="s">
        <v>173</v>
      </c>
      <c r="M111" s="228" t="s">
        <v>21</v>
      </c>
      <c r="N111" s="230" t="s">
        <v>31</v>
      </c>
      <c r="O111" s="106"/>
    </row>
    <row r="112" spans="1:15" s="95" customFormat="1" ht="12.75" customHeight="1" hidden="1">
      <c r="A112" s="110"/>
      <c r="B112" s="164"/>
      <c r="C112" s="235"/>
      <c r="D112" s="112"/>
      <c r="E112" s="112"/>
      <c r="F112" s="112"/>
      <c r="G112" s="112"/>
      <c r="H112" s="113"/>
      <c r="I112" s="114"/>
      <c r="J112" s="114"/>
      <c r="K112" s="238"/>
      <c r="L112" s="239"/>
      <c r="M112" s="240"/>
      <c r="N112" s="238"/>
      <c r="O112" s="204"/>
    </row>
    <row r="113" spans="1:15" s="95" customFormat="1" ht="12.75" customHeight="1" hidden="1">
      <c r="A113" s="115"/>
      <c r="B113" s="116"/>
      <c r="C113" s="115" t="s">
        <v>18</v>
      </c>
      <c r="D113" s="117">
        <f aca="true" t="shared" si="22" ref="D113:N113">SUM(D112:D112)</f>
        <v>0</v>
      </c>
      <c r="E113" s="117">
        <f t="shared" si="22"/>
        <v>0</v>
      </c>
      <c r="F113" s="117">
        <f t="shared" si="22"/>
        <v>0</v>
      </c>
      <c r="G113" s="117">
        <f t="shared" si="22"/>
        <v>0</v>
      </c>
      <c r="H113" s="117">
        <f t="shared" si="22"/>
        <v>0</v>
      </c>
      <c r="I113" s="117">
        <f t="shared" si="22"/>
        <v>0</v>
      </c>
      <c r="J113" s="117">
        <f t="shared" si="22"/>
        <v>0</v>
      </c>
      <c r="K113" s="117">
        <f t="shared" si="22"/>
        <v>0</v>
      </c>
      <c r="L113" s="117">
        <f t="shared" si="22"/>
        <v>0</v>
      </c>
      <c r="M113" s="117">
        <f t="shared" si="22"/>
        <v>0</v>
      </c>
      <c r="N113" s="117">
        <f t="shared" si="22"/>
        <v>0</v>
      </c>
      <c r="O113" s="118"/>
    </row>
    <row r="114" spans="1:15" s="95" customFormat="1" ht="19.5" customHeight="1">
      <c r="A114" s="398"/>
      <c r="B114" s="151"/>
      <c r="C114" s="116"/>
      <c r="D114" s="132"/>
      <c r="E114" s="132"/>
      <c r="F114" s="132"/>
      <c r="G114" s="132"/>
      <c r="H114" s="132"/>
      <c r="I114" s="132"/>
      <c r="J114" s="132"/>
      <c r="K114" s="132"/>
      <c r="L114" s="132"/>
      <c r="M114" s="132"/>
      <c r="N114" s="132"/>
      <c r="O114" s="132"/>
    </row>
    <row r="115" spans="1:15" s="95" customFormat="1" ht="12" customHeight="1">
      <c r="A115" s="175"/>
      <c r="B115" s="438"/>
      <c r="C115" s="439"/>
      <c r="D115" s="414"/>
      <c r="E115" s="414"/>
      <c r="F115" s="414"/>
      <c r="G115" s="414"/>
      <c r="H115" s="414"/>
      <c r="I115" s="414"/>
      <c r="J115" s="414"/>
      <c r="K115" s="420"/>
      <c r="L115" s="414"/>
      <c r="M115" s="414"/>
      <c r="N115" s="414"/>
      <c r="O115" s="278"/>
    </row>
    <row r="116" spans="1:15" ht="15">
      <c r="A116" s="175"/>
      <c r="B116" s="413" t="s">
        <v>152</v>
      </c>
      <c r="C116" s="177"/>
      <c r="D116" s="414"/>
      <c r="E116" s="440" t="s">
        <v>114</v>
      </c>
      <c r="F116" s="177"/>
      <c r="G116" s="414"/>
      <c r="H116" s="414"/>
      <c r="I116" s="414"/>
      <c r="J116" s="414"/>
      <c r="K116" s="441" t="s">
        <v>162</v>
      </c>
      <c r="L116" s="177"/>
      <c r="M116" s="414"/>
      <c r="N116" s="414"/>
      <c r="O116" s="442"/>
    </row>
    <row r="117" spans="1:15" s="163" customFormat="1" ht="15">
      <c r="A117" s="58"/>
      <c r="B117" s="413" t="s">
        <v>153</v>
      </c>
      <c r="C117" s="429"/>
      <c r="D117" s="419"/>
      <c r="E117" s="415"/>
      <c r="F117" s="419"/>
      <c r="G117" s="419"/>
      <c r="H117" s="420"/>
      <c r="I117" s="419"/>
      <c r="J117" s="420"/>
      <c r="K117" s="419"/>
      <c r="L117" s="429" t="s">
        <v>109</v>
      </c>
      <c r="M117" s="419"/>
      <c r="N117" s="443"/>
      <c r="O117" s="177"/>
    </row>
    <row r="118" spans="1:15" s="163" customFormat="1" ht="15">
      <c r="A118" s="45"/>
      <c r="B118" s="425" t="s">
        <v>113</v>
      </c>
      <c r="C118" s="425"/>
      <c r="D118" s="177"/>
      <c r="E118" s="419"/>
      <c r="F118" s="415"/>
      <c r="G118" s="423" t="s">
        <v>115</v>
      </c>
      <c r="H118" s="424"/>
      <c r="I118" s="420"/>
      <c r="J118" s="420"/>
      <c r="K118" s="415"/>
      <c r="L118" s="415"/>
      <c r="M118" s="415"/>
      <c r="N118" s="443"/>
      <c r="O118" s="177"/>
    </row>
    <row r="119" spans="1:15" s="163" customFormat="1" ht="15">
      <c r="A119" s="45"/>
      <c r="B119" s="425" t="s">
        <v>118</v>
      </c>
      <c r="C119" s="425"/>
      <c r="D119" s="177"/>
      <c r="E119" s="177"/>
      <c r="F119" s="429"/>
      <c r="G119" s="423" t="s">
        <v>379</v>
      </c>
      <c r="H119" s="421"/>
      <c r="I119" s="420"/>
      <c r="J119" s="420"/>
      <c r="K119" s="415"/>
      <c r="L119" s="421" t="s">
        <v>110</v>
      </c>
      <c r="M119" s="414"/>
      <c r="N119" s="443"/>
      <c r="O119" s="429"/>
    </row>
    <row r="120" spans="1:15" ht="15">
      <c r="A120" s="402"/>
      <c r="B120" s="421"/>
      <c r="C120" s="415"/>
      <c r="D120" s="415"/>
      <c r="E120" s="427"/>
      <c r="F120" s="415"/>
      <c r="G120" s="436" t="s">
        <v>378</v>
      </c>
      <c r="H120" s="429"/>
      <c r="I120" s="417"/>
      <c r="J120" s="417"/>
      <c r="K120" s="417"/>
      <c r="L120" s="421" t="s">
        <v>111</v>
      </c>
      <c r="M120" s="177"/>
      <c r="N120" s="443"/>
      <c r="O120" s="429"/>
    </row>
    <row r="121" spans="1:15" ht="15">
      <c r="A121" s="402"/>
      <c r="B121" s="421"/>
      <c r="C121" s="421"/>
      <c r="D121" s="430"/>
      <c r="E121" s="421"/>
      <c r="F121" s="429"/>
      <c r="G121" s="421"/>
      <c r="H121" s="430"/>
      <c r="I121" s="427"/>
      <c r="J121" s="415"/>
      <c r="K121" s="421"/>
      <c r="L121" s="429"/>
      <c r="M121" s="429"/>
      <c r="N121" s="429"/>
      <c r="O121" s="444"/>
    </row>
    <row r="122" spans="1:14" ht="13.5">
      <c r="A122" s="179"/>
      <c r="B122" s="179"/>
      <c r="C122" s="179"/>
      <c r="D122" s="179"/>
      <c r="E122" s="179"/>
      <c r="G122" s="179"/>
      <c r="H122" s="179"/>
      <c r="I122" s="179"/>
      <c r="J122" s="179"/>
      <c r="K122" s="180"/>
      <c r="L122" s="31"/>
      <c r="M122" s="161"/>
      <c r="N122" s="33"/>
    </row>
    <row r="123" spans="1:14" ht="13.5">
      <c r="A123" s="12"/>
      <c r="B123" s="12"/>
      <c r="C123" s="12"/>
      <c r="D123" s="12"/>
      <c r="E123" s="12"/>
      <c r="F123" s="12"/>
      <c r="G123" s="12"/>
      <c r="H123" s="12"/>
      <c r="I123" s="12"/>
      <c r="K123" s="12"/>
      <c r="L123" s="12"/>
      <c r="M123" s="142"/>
      <c r="N123" s="12"/>
    </row>
    <row r="124" spans="1:14" ht="13.5">
      <c r="A124" s="12"/>
      <c r="B124" s="181"/>
      <c r="C124" s="12"/>
      <c r="D124" s="12"/>
      <c r="E124" s="12"/>
      <c r="F124" s="12"/>
      <c r="G124" s="12"/>
      <c r="H124" s="12"/>
      <c r="I124" s="12"/>
      <c r="K124" s="12"/>
      <c r="L124" s="12"/>
      <c r="M124" s="142"/>
      <c r="N124" s="12"/>
    </row>
  </sheetData>
  <sheetProtection/>
  <mergeCells count="1">
    <mergeCell ref="A8:O8"/>
  </mergeCells>
  <printOptions/>
  <pageMargins left="0.5118110236220472" right="0.5905511811023623" top="0.5905511811023623" bottom="0.7874015748031497" header="0.35433070866141736" footer="0.3937007874015748"/>
  <pageSetup horizontalDpi="600" verticalDpi="600" orientation="landscape" paperSize="9" r:id="rId2"/>
  <headerFooter alignWithMargins="0">
    <oddFooter xml:space="preserve">&amp;C&amp;8Pagina &amp;P din &amp;N&amp;R&amp;8(L1) HCL nr.  din 
Dotări independente </oddFooter>
  </headerFooter>
  <drawing r:id="rId1"/>
</worksheet>
</file>

<file path=xl/worksheets/sheet5.xml><?xml version="1.0" encoding="utf-8"?>
<worksheet xmlns="http://schemas.openxmlformats.org/spreadsheetml/2006/main" xmlns:r="http://schemas.openxmlformats.org/officeDocument/2006/relationships">
  <sheetPr>
    <tabColor indexed="46"/>
  </sheetPr>
  <dimension ref="A1:S92"/>
  <sheetViews>
    <sheetView view="pageBreakPreview" zoomScaleNormal="110" zoomScaleSheetLayoutView="100" workbookViewId="0" topLeftCell="A1">
      <selection activeCell="B25" sqref="B25"/>
    </sheetView>
  </sheetViews>
  <sheetFormatPr defaultColWidth="9.140625" defaultRowHeight="12.75"/>
  <cols>
    <col min="1" max="1" width="3.7109375" style="12" customWidth="1"/>
    <col min="2" max="2" width="37.8515625" style="12" customWidth="1"/>
    <col min="3" max="3" width="12.421875" style="12" customWidth="1"/>
    <col min="4" max="4" width="8.00390625" style="12" customWidth="1"/>
    <col min="5" max="5" width="8.421875" style="12" customWidth="1"/>
    <col min="6" max="6" width="9.421875" style="12" customWidth="1"/>
    <col min="7" max="7" width="8.00390625" style="12" customWidth="1"/>
    <col min="8" max="8" width="8.28125" style="12" customWidth="1"/>
    <col min="9" max="11" width="6.8515625" style="12" customWidth="1"/>
    <col min="12" max="12" width="7.140625" style="12" customWidth="1"/>
    <col min="13" max="13" width="7.140625" style="142" customWidth="1"/>
    <col min="14" max="14" width="5.140625" style="12" customWidth="1"/>
    <col min="15" max="15" width="5.7109375" style="143" customWidth="1"/>
    <col min="16" max="16384" width="9.140625" style="12" customWidth="1"/>
  </cols>
  <sheetData>
    <row r="1" spans="1:14" ht="42.75" customHeight="1">
      <c r="A1" s="84"/>
      <c r="B1" s="85"/>
      <c r="D1" s="365"/>
      <c r="E1" s="432"/>
      <c r="F1" s="432"/>
      <c r="G1" s="433"/>
      <c r="H1" s="433"/>
      <c r="I1" s="433"/>
      <c r="J1" s="432"/>
      <c r="K1" s="445"/>
      <c r="L1" s="446"/>
      <c r="N1" s="12" t="s">
        <v>68</v>
      </c>
    </row>
    <row r="2" spans="1:12" ht="21.75" customHeight="1">
      <c r="A2" s="84"/>
      <c r="B2" s="87"/>
      <c r="D2" s="365"/>
      <c r="E2" s="432"/>
      <c r="F2" s="433" t="s">
        <v>22</v>
      </c>
      <c r="G2" s="433"/>
      <c r="H2" s="433"/>
      <c r="I2" s="433"/>
      <c r="J2" s="433" t="s">
        <v>23</v>
      </c>
      <c r="K2" s="432"/>
      <c r="L2" s="433"/>
    </row>
    <row r="3" spans="1:12" ht="11.25" customHeight="1">
      <c r="A3" s="84"/>
      <c r="B3" s="87"/>
      <c r="D3" s="365"/>
      <c r="E3" s="432"/>
      <c r="F3" s="433" t="s">
        <v>251</v>
      </c>
      <c r="G3" s="421"/>
      <c r="H3" s="421"/>
      <c r="I3" s="415"/>
      <c r="J3" s="433" t="s">
        <v>75</v>
      </c>
      <c r="K3" s="432"/>
      <c r="L3" s="433"/>
    </row>
    <row r="4" spans="1:12" ht="15" customHeight="1">
      <c r="A4" s="84"/>
      <c r="B4" s="87" t="s">
        <v>393</v>
      </c>
      <c r="D4" s="365"/>
      <c r="E4" s="432"/>
      <c r="F4" s="433" t="s">
        <v>212</v>
      </c>
      <c r="G4" s="421"/>
      <c r="H4" s="177"/>
      <c r="I4" s="432"/>
      <c r="J4" s="433" t="s">
        <v>117</v>
      </c>
      <c r="K4" s="432"/>
      <c r="L4" s="432"/>
    </row>
    <row r="5" spans="1:12" ht="15" customHeight="1">
      <c r="A5" s="84"/>
      <c r="B5" s="87"/>
      <c r="D5" s="365"/>
      <c r="E5" s="432"/>
      <c r="F5" s="447" t="s">
        <v>241</v>
      </c>
      <c r="G5" s="421"/>
      <c r="H5" s="177"/>
      <c r="I5" s="432"/>
      <c r="J5" s="432"/>
      <c r="K5" s="432"/>
      <c r="L5" s="432"/>
    </row>
    <row r="6" spans="1:12" ht="14.25" customHeight="1">
      <c r="A6" s="84"/>
      <c r="B6" s="87"/>
      <c r="D6" s="365"/>
      <c r="E6" s="448"/>
      <c r="F6" s="432"/>
      <c r="G6" s="421"/>
      <c r="H6" s="177"/>
      <c r="I6" s="432"/>
      <c r="J6" s="432"/>
      <c r="K6" s="449"/>
      <c r="L6" s="432"/>
    </row>
    <row r="7" spans="1:14" ht="34.5" customHeight="1">
      <c r="A7" s="458" t="s">
        <v>397</v>
      </c>
      <c r="B7" s="457"/>
      <c r="C7" s="457"/>
      <c r="D7" s="457"/>
      <c r="E7" s="457"/>
      <c r="F7" s="457"/>
      <c r="G7" s="457"/>
      <c r="H7" s="457"/>
      <c r="I7" s="457"/>
      <c r="J7" s="457"/>
      <c r="K7" s="457"/>
      <c r="L7" s="457"/>
      <c r="M7" s="461"/>
      <c r="N7" s="461"/>
    </row>
    <row r="8" spans="1:15" s="94" customFormat="1" ht="36.75" customHeight="1" hidden="1" thickBot="1">
      <c r="A8" s="90" t="s">
        <v>87</v>
      </c>
      <c r="B8" s="13"/>
      <c r="C8" s="91"/>
      <c r="D8" s="13"/>
      <c r="E8" s="92"/>
      <c r="F8" s="13"/>
      <c r="G8" s="13"/>
      <c r="H8" s="13"/>
      <c r="I8" s="13"/>
      <c r="J8" s="13"/>
      <c r="K8" s="13"/>
      <c r="L8" s="93" t="s">
        <v>16</v>
      </c>
      <c r="M8" s="86"/>
      <c r="O8" s="143"/>
    </row>
    <row r="9" spans="1:15" s="15" customFormat="1" ht="57" customHeight="1" hidden="1" thickBot="1">
      <c r="A9" s="224" t="s">
        <v>17</v>
      </c>
      <c r="B9" s="225" t="s">
        <v>19</v>
      </c>
      <c r="C9" s="226" t="s">
        <v>47</v>
      </c>
      <c r="D9" s="225" t="s">
        <v>185</v>
      </c>
      <c r="E9" s="227" t="s">
        <v>44</v>
      </c>
      <c r="F9" s="228" t="s">
        <v>186</v>
      </c>
      <c r="G9" s="228" t="s">
        <v>93</v>
      </c>
      <c r="H9" s="228" t="s">
        <v>187</v>
      </c>
      <c r="I9" s="108" t="s">
        <v>46</v>
      </c>
      <c r="J9" s="109" t="s">
        <v>45</v>
      </c>
      <c r="K9" s="229" t="s">
        <v>72</v>
      </c>
      <c r="L9" s="228" t="s">
        <v>173</v>
      </c>
      <c r="M9" s="228" t="s">
        <v>21</v>
      </c>
      <c r="N9" s="230" t="s">
        <v>31</v>
      </c>
      <c r="O9" s="144"/>
    </row>
    <row r="10" spans="1:15" s="95" customFormat="1" ht="59.25" customHeight="1" hidden="1">
      <c r="A10" s="156">
        <v>1</v>
      </c>
      <c r="B10" s="183"/>
      <c r="C10" s="184"/>
      <c r="D10" s="152">
        <v>0</v>
      </c>
      <c r="E10" s="152">
        <f>D10</f>
        <v>0</v>
      </c>
      <c r="F10" s="152">
        <v>0</v>
      </c>
      <c r="G10" s="153">
        <f>E10-F10</f>
        <v>0</v>
      </c>
      <c r="H10" s="154">
        <f>SUM(I10:N10)</f>
        <v>0</v>
      </c>
      <c r="I10" s="152"/>
      <c r="J10" s="152"/>
      <c r="K10" s="152"/>
      <c r="L10" s="152"/>
      <c r="M10" s="152">
        <v>0</v>
      </c>
      <c r="N10" s="152"/>
      <c r="O10" s="149" t="s">
        <v>30</v>
      </c>
    </row>
    <row r="11" spans="1:14" ht="18.75" customHeight="1" hidden="1">
      <c r="A11" s="265"/>
      <c r="C11" s="185" t="s">
        <v>18</v>
      </c>
      <c r="D11" s="186">
        <f aca="true" t="shared" si="0" ref="D11:N11">SUM(D10:D10)</f>
        <v>0</v>
      </c>
      <c r="E11" s="186">
        <f t="shared" si="0"/>
        <v>0</v>
      </c>
      <c r="F11" s="186">
        <f t="shared" si="0"/>
        <v>0</v>
      </c>
      <c r="G11" s="186">
        <f t="shared" si="0"/>
        <v>0</v>
      </c>
      <c r="H11" s="186">
        <f t="shared" si="0"/>
        <v>0</v>
      </c>
      <c r="I11" s="186">
        <f t="shared" si="0"/>
        <v>0</v>
      </c>
      <c r="J11" s="186">
        <f t="shared" si="0"/>
        <v>0</v>
      </c>
      <c r="K11" s="186">
        <f t="shared" si="0"/>
        <v>0</v>
      </c>
      <c r="L11" s="186">
        <f t="shared" si="0"/>
        <v>0</v>
      </c>
      <c r="M11" s="186">
        <f t="shared" si="0"/>
        <v>0</v>
      </c>
      <c r="N11" s="186">
        <f t="shared" si="0"/>
        <v>0</v>
      </c>
    </row>
    <row r="12" spans="1:14" ht="20.25" customHeight="1" hidden="1">
      <c r="A12" s="265"/>
      <c r="C12" s="122"/>
      <c r="D12" s="195"/>
      <c r="E12" s="195"/>
      <c r="F12" s="195"/>
      <c r="G12" s="195"/>
      <c r="H12" s="195"/>
      <c r="I12" s="195"/>
      <c r="J12" s="195"/>
      <c r="K12" s="195"/>
      <c r="L12" s="195"/>
      <c r="M12" s="195"/>
      <c r="N12" s="195"/>
    </row>
    <row r="13" spans="1:14" ht="20.25" customHeight="1" hidden="1">
      <c r="A13" s="265"/>
      <c r="C13" s="116"/>
      <c r="D13" s="132"/>
      <c r="E13" s="132"/>
      <c r="F13" s="132"/>
      <c r="G13" s="132"/>
      <c r="H13" s="132"/>
      <c r="I13" s="132"/>
      <c r="J13" s="132"/>
      <c r="K13" s="132"/>
      <c r="L13" s="132"/>
      <c r="M13" s="132"/>
      <c r="N13" s="132"/>
    </row>
    <row r="14" spans="1:14" ht="20.25" customHeight="1" hidden="1" thickBot="1">
      <c r="A14" s="90" t="s">
        <v>78</v>
      </c>
      <c r="B14" s="13"/>
      <c r="C14" s="91"/>
      <c r="D14" s="13"/>
      <c r="E14" s="92"/>
      <c r="F14" s="13"/>
      <c r="G14" s="13"/>
      <c r="H14" s="13"/>
      <c r="I14" s="13"/>
      <c r="J14" s="13"/>
      <c r="K14" s="13"/>
      <c r="L14" s="93" t="s">
        <v>16</v>
      </c>
      <c r="M14" s="86"/>
      <c r="N14" s="94"/>
    </row>
    <row r="15" spans="1:15" ht="64.5" customHeight="1" hidden="1" thickBot="1">
      <c r="A15" s="224" t="s">
        <v>17</v>
      </c>
      <c r="B15" s="225" t="s">
        <v>19</v>
      </c>
      <c r="C15" s="226" t="s">
        <v>47</v>
      </c>
      <c r="D15" s="225" t="s">
        <v>185</v>
      </c>
      <c r="E15" s="227" t="s">
        <v>44</v>
      </c>
      <c r="F15" s="228" t="s">
        <v>186</v>
      </c>
      <c r="G15" s="228" t="s">
        <v>93</v>
      </c>
      <c r="H15" s="228" t="s">
        <v>187</v>
      </c>
      <c r="I15" s="108" t="s">
        <v>46</v>
      </c>
      <c r="J15" s="109" t="s">
        <v>45</v>
      </c>
      <c r="K15" s="229" t="s">
        <v>72</v>
      </c>
      <c r="L15" s="228" t="s">
        <v>173</v>
      </c>
      <c r="M15" s="228" t="s">
        <v>21</v>
      </c>
      <c r="N15" s="230" t="s">
        <v>31</v>
      </c>
      <c r="O15" s="144"/>
    </row>
    <row r="16" spans="1:15" ht="19.5" customHeight="1" hidden="1">
      <c r="A16" s="156">
        <v>1</v>
      </c>
      <c r="B16" s="182"/>
      <c r="C16" s="150"/>
      <c r="D16" s="187"/>
      <c r="E16" s="187"/>
      <c r="F16" s="187"/>
      <c r="G16" s="188"/>
      <c r="H16" s="121"/>
      <c r="I16" s="187"/>
      <c r="J16" s="187"/>
      <c r="K16" s="187"/>
      <c r="L16" s="187"/>
      <c r="M16" s="187"/>
      <c r="N16" s="187"/>
      <c r="O16" s="149" t="s">
        <v>30</v>
      </c>
    </row>
    <row r="17" spans="1:14" ht="13.5" customHeight="1" hidden="1">
      <c r="A17" s="265"/>
      <c r="C17" s="155" t="s">
        <v>18</v>
      </c>
      <c r="D17" s="123">
        <f>SUM(D16)</f>
        <v>0</v>
      </c>
      <c r="E17" s="123">
        <f aca="true" t="shared" si="1" ref="E17:N17">SUM(E16)</f>
        <v>0</v>
      </c>
      <c r="F17" s="123">
        <f t="shared" si="1"/>
        <v>0</v>
      </c>
      <c r="G17" s="123">
        <f t="shared" si="1"/>
        <v>0</v>
      </c>
      <c r="H17" s="123">
        <f t="shared" si="1"/>
        <v>0</v>
      </c>
      <c r="I17" s="123">
        <f t="shared" si="1"/>
        <v>0</v>
      </c>
      <c r="J17" s="123">
        <f t="shared" si="1"/>
        <v>0</v>
      </c>
      <c r="K17" s="123">
        <f t="shared" si="1"/>
        <v>0</v>
      </c>
      <c r="L17" s="123">
        <f t="shared" si="1"/>
        <v>0</v>
      </c>
      <c r="M17" s="123">
        <f t="shared" si="1"/>
        <v>0</v>
      </c>
      <c r="N17" s="123">
        <f t="shared" si="1"/>
        <v>0</v>
      </c>
    </row>
    <row r="18" spans="1:14" ht="11.25" customHeight="1">
      <c r="A18" s="265"/>
      <c r="C18" s="116"/>
      <c r="D18" s="132"/>
      <c r="E18" s="132"/>
      <c r="F18" s="132"/>
      <c r="G18" s="132"/>
      <c r="H18" s="132"/>
      <c r="I18" s="132"/>
      <c r="J18" s="132"/>
      <c r="K18" s="132"/>
      <c r="L18" s="132"/>
      <c r="M18" s="132"/>
      <c r="N18" s="132"/>
    </row>
    <row r="19" spans="1:15" s="94" customFormat="1" ht="34.5" customHeight="1" thickBot="1">
      <c r="A19" s="90" t="s">
        <v>88</v>
      </c>
      <c r="B19" s="13"/>
      <c r="C19" s="91"/>
      <c r="D19" s="13"/>
      <c r="E19" s="92"/>
      <c r="F19" s="13"/>
      <c r="G19" s="13"/>
      <c r="H19" s="13"/>
      <c r="I19" s="13"/>
      <c r="J19" s="89"/>
      <c r="L19" s="142"/>
      <c r="N19" s="129" t="s">
        <v>16</v>
      </c>
      <c r="O19" s="143"/>
    </row>
    <row r="20" spans="1:15" s="15" customFormat="1" ht="54.75" customHeight="1" thickBot="1">
      <c r="A20" s="224" t="s">
        <v>17</v>
      </c>
      <c r="B20" s="225" t="s">
        <v>19</v>
      </c>
      <c r="C20" s="226" t="s">
        <v>47</v>
      </c>
      <c r="D20" s="225" t="s">
        <v>185</v>
      </c>
      <c r="E20" s="227" t="s">
        <v>44</v>
      </c>
      <c r="F20" s="228" t="s">
        <v>395</v>
      </c>
      <c r="G20" s="228" t="s">
        <v>93</v>
      </c>
      <c r="H20" s="387" t="s">
        <v>396</v>
      </c>
      <c r="I20" s="108" t="s">
        <v>388</v>
      </c>
      <c r="J20" s="109" t="s">
        <v>45</v>
      </c>
      <c r="K20" s="229" t="s">
        <v>392</v>
      </c>
      <c r="L20" s="228" t="s">
        <v>173</v>
      </c>
      <c r="M20" s="228" t="s">
        <v>21</v>
      </c>
      <c r="N20" s="230" t="s">
        <v>31</v>
      </c>
      <c r="O20" s="144"/>
    </row>
    <row r="21" spans="1:15" s="15" customFormat="1" ht="54">
      <c r="A21" s="295">
        <v>1</v>
      </c>
      <c r="B21" s="311" t="s">
        <v>360</v>
      </c>
      <c r="C21" s="312" t="s">
        <v>219</v>
      </c>
      <c r="D21" s="343">
        <v>40</v>
      </c>
      <c r="E21" s="343">
        <f>D21</f>
        <v>40</v>
      </c>
      <c r="F21" s="343">
        <v>0</v>
      </c>
      <c r="G21" s="344">
        <f>E21-F21</f>
        <v>40</v>
      </c>
      <c r="H21" s="400">
        <f>SUM(I21:O21)</f>
        <v>40</v>
      </c>
      <c r="I21" s="343"/>
      <c r="J21" s="343"/>
      <c r="K21" s="343"/>
      <c r="L21" s="343"/>
      <c r="M21" s="343">
        <v>40</v>
      </c>
      <c r="N21" s="343">
        <v>0</v>
      </c>
      <c r="O21" s="301" t="s">
        <v>32</v>
      </c>
    </row>
    <row r="22" spans="1:15" s="15" customFormat="1" ht="57" customHeight="1">
      <c r="A22" s="295">
        <v>2</v>
      </c>
      <c r="B22" s="165" t="s">
        <v>576</v>
      </c>
      <c r="C22" s="235" t="s">
        <v>575</v>
      </c>
      <c r="D22" s="201">
        <v>125</v>
      </c>
      <c r="E22" s="201">
        <f>D22</f>
        <v>125</v>
      </c>
      <c r="F22" s="201">
        <v>0</v>
      </c>
      <c r="G22" s="202">
        <f>E22-F22</f>
        <v>125</v>
      </c>
      <c r="H22" s="400">
        <f>SUM(I22:O22)</f>
        <v>125</v>
      </c>
      <c r="I22" s="201"/>
      <c r="J22" s="201"/>
      <c r="K22" s="201"/>
      <c r="L22" s="201"/>
      <c r="M22" s="201">
        <v>0</v>
      </c>
      <c r="N22" s="201">
        <v>125</v>
      </c>
      <c r="O22" s="149" t="s">
        <v>32</v>
      </c>
    </row>
    <row r="23" spans="1:14" ht="33" customHeight="1">
      <c r="A23" s="265"/>
      <c r="C23" s="155" t="s">
        <v>18</v>
      </c>
      <c r="D23" s="123">
        <f>SUM(D21:D22)</f>
        <v>165</v>
      </c>
      <c r="E23" s="123">
        <f aca="true" t="shared" si="2" ref="E23:N23">SUM(E21:E22)</f>
        <v>165</v>
      </c>
      <c r="F23" s="123">
        <f t="shared" si="2"/>
        <v>0</v>
      </c>
      <c r="G23" s="123">
        <f t="shared" si="2"/>
        <v>165</v>
      </c>
      <c r="H23" s="396">
        <f t="shared" si="2"/>
        <v>165</v>
      </c>
      <c r="I23" s="123">
        <f t="shared" si="2"/>
        <v>0</v>
      </c>
      <c r="J23" s="123">
        <f t="shared" si="2"/>
        <v>0</v>
      </c>
      <c r="K23" s="123">
        <f t="shared" si="2"/>
        <v>0</v>
      </c>
      <c r="L23" s="123">
        <f t="shared" si="2"/>
        <v>0</v>
      </c>
      <c r="M23" s="123">
        <f t="shared" si="2"/>
        <v>40</v>
      </c>
      <c r="N23" s="123">
        <f t="shared" si="2"/>
        <v>125</v>
      </c>
    </row>
    <row r="24" spans="1:14" ht="33" customHeight="1">
      <c r="A24" s="452"/>
      <c r="C24" s="116"/>
      <c r="D24" s="132"/>
      <c r="E24" s="132"/>
      <c r="F24" s="132"/>
      <c r="G24" s="132"/>
      <c r="H24" s="132"/>
      <c r="I24" s="132"/>
      <c r="J24" s="132"/>
      <c r="K24" s="132"/>
      <c r="L24" s="132"/>
      <c r="M24" s="132"/>
      <c r="N24" s="132"/>
    </row>
    <row r="25" spans="1:14" ht="33" customHeight="1">
      <c r="A25" s="452"/>
      <c r="C25" s="116"/>
      <c r="D25" s="132"/>
      <c r="E25" s="132"/>
      <c r="F25" s="132"/>
      <c r="G25" s="132"/>
      <c r="H25" s="132"/>
      <c r="I25" s="132"/>
      <c r="J25" s="132"/>
      <c r="K25" s="132"/>
      <c r="L25" s="132"/>
      <c r="M25" s="132"/>
      <c r="N25" s="132"/>
    </row>
    <row r="26" spans="1:14" ht="16.5" customHeight="1">
      <c r="A26" s="265"/>
      <c r="C26" s="116"/>
      <c r="D26" s="132"/>
      <c r="E26" s="132"/>
      <c r="F26" s="132"/>
      <c r="G26" s="132"/>
      <c r="H26" s="132"/>
      <c r="I26" s="132"/>
      <c r="J26" s="132"/>
      <c r="K26" s="132"/>
      <c r="L26" s="132"/>
      <c r="M26" s="132"/>
      <c r="N26" s="132"/>
    </row>
    <row r="27" spans="1:15" s="94" customFormat="1" ht="24" customHeight="1" thickBot="1">
      <c r="A27" s="74" t="s">
        <v>90</v>
      </c>
      <c r="C27" s="18"/>
      <c r="D27" s="13"/>
      <c r="E27" s="92"/>
      <c r="F27" s="13"/>
      <c r="G27" s="13"/>
      <c r="H27" s="13"/>
      <c r="I27" s="13"/>
      <c r="J27" s="89"/>
      <c r="K27" s="93"/>
      <c r="L27" s="142"/>
      <c r="N27" s="129" t="s">
        <v>16</v>
      </c>
      <c r="O27" s="143"/>
    </row>
    <row r="28" spans="1:15" s="15" customFormat="1" ht="48.75" customHeight="1" thickBot="1">
      <c r="A28" s="224" t="s">
        <v>17</v>
      </c>
      <c r="B28" s="225" t="s">
        <v>19</v>
      </c>
      <c r="C28" s="226" t="s">
        <v>47</v>
      </c>
      <c r="D28" s="225" t="s">
        <v>185</v>
      </c>
      <c r="E28" s="227" t="s">
        <v>44</v>
      </c>
      <c r="F28" s="228" t="s">
        <v>395</v>
      </c>
      <c r="G28" s="228" t="s">
        <v>93</v>
      </c>
      <c r="H28" s="387" t="s">
        <v>396</v>
      </c>
      <c r="I28" s="108" t="s">
        <v>388</v>
      </c>
      <c r="J28" s="109" t="s">
        <v>45</v>
      </c>
      <c r="K28" s="229" t="s">
        <v>392</v>
      </c>
      <c r="L28" s="228" t="s">
        <v>173</v>
      </c>
      <c r="M28" s="228" t="s">
        <v>21</v>
      </c>
      <c r="N28" s="230" t="s">
        <v>31</v>
      </c>
      <c r="O28" s="144"/>
    </row>
    <row r="29" spans="1:15" s="15" customFormat="1" ht="58.5" customHeight="1">
      <c r="A29" s="310">
        <v>1</v>
      </c>
      <c r="B29" s="311" t="s">
        <v>242</v>
      </c>
      <c r="C29" s="312" t="s">
        <v>219</v>
      </c>
      <c r="D29" s="313">
        <v>51570</v>
      </c>
      <c r="E29" s="313">
        <f aca="true" t="shared" si="3" ref="E29:E34">D29</f>
        <v>51570</v>
      </c>
      <c r="F29" s="313">
        <v>0</v>
      </c>
      <c r="G29" s="314">
        <f>E29-F29</f>
        <v>51570</v>
      </c>
      <c r="H29" s="390">
        <f aca="true" t="shared" si="4" ref="H29:H34">SUM(I29:N29)</f>
        <v>31570</v>
      </c>
      <c r="I29" s="313"/>
      <c r="J29" s="313"/>
      <c r="K29" s="313">
        <v>31570</v>
      </c>
      <c r="L29" s="313">
        <v>0</v>
      </c>
      <c r="M29" s="350">
        <v>0</v>
      </c>
      <c r="N29" s="351">
        <v>0</v>
      </c>
      <c r="O29" s="301" t="s">
        <v>32</v>
      </c>
    </row>
    <row r="30" spans="1:15" s="15" customFormat="1" ht="87" customHeight="1">
      <c r="A30" s="310">
        <v>2</v>
      </c>
      <c r="B30" s="311" t="s">
        <v>539</v>
      </c>
      <c r="C30" s="312" t="s">
        <v>108</v>
      </c>
      <c r="D30" s="313">
        <f>1050</f>
        <v>1050</v>
      </c>
      <c r="E30" s="313">
        <f t="shared" si="3"/>
        <v>1050</v>
      </c>
      <c r="F30" s="313">
        <v>0</v>
      </c>
      <c r="G30" s="314">
        <f>E30-F30</f>
        <v>1050</v>
      </c>
      <c r="H30" s="390">
        <f t="shared" si="4"/>
        <v>1050</v>
      </c>
      <c r="I30" s="313"/>
      <c r="J30" s="313"/>
      <c r="K30" s="313"/>
      <c r="L30" s="313">
        <v>1050</v>
      </c>
      <c r="M30" s="313">
        <v>0</v>
      </c>
      <c r="N30" s="313">
        <v>0</v>
      </c>
      <c r="O30" s="301" t="s">
        <v>32</v>
      </c>
    </row>
    <row r="31" spans="1:15" s="15" customFormat="1" ht="84" customHeight="1">
      <c r="A31" s="310">
        <v>3</v>
      </c>
      <c r="B31" s="306" t="s">
        <v>538</v>
      </c>
      <c r="C31" s="286" t="s">
        <v>108</v>
      </c>
      <c r="D31" s="307">
        <v>750</v>
      </c>
      <c r="E31" s="307">
        <f t="shared" si="3"/>
        <v>750</v>
      </c>
      <c r="F31" s="308">
        <v>0</v>
      </c>
      <c r="G31" s="290">
        <f>D31-F31</f>
        <v>750</v>
      </c>
      <c r="H31" s="390">
        <f t="shared" si="4"/>
        <v>750</v>
      </c>
      <c r="I31" s="308"/>
      <c r="J31" s="291"/>
      <c r="K31" s="290"/>
      <c r="L31" s="290">
        <v>750</v>
      </c>
      <c r="M31" s="308"/>
      <c r="N31" s="309"/>
      <c r="O31" s="301" t="s">
        <v>32</v>
      </c>
    </row>
    <row r="32" spans="1:15" s="15" customFormat="1" ht="67.5" customHeight="1">
      <c r="A32" s="310">
        <v>4</v>
      </c>
      <c r="B32" s="306" t="s">
        <v>481</v>
      </c>
      <c r="C32" s="286" t="s">
        <v>108</v>
      </c>
      <c r="D32" s="307">
        <v>1</v>
      </c>
      <c r="E32" s="307">
        <f t="shared" si="3"/>
        <v>1</v>
      </c>
      <c r="F32" s="308">
        <v>0</v>
      </c>
      <c r="G32" s="290">
        <f>D32-F32</f>
        <v>1</v>
      </c>
      <c r="H32" s="390">
        <f t="shared" si="4"/>
        <v>1</v>
      </c>
      <c r="I32" s="308"/>
      <c r="J32" s="291"/>
      <c r="K32" s="290"/>
      <c r="L32" s="290">
        <v>1</v>
      </c>
      <c r="M32" s="308"/>
      <c r="N32" s="309"/>
      <c r="O32" s="301" t="s">
        <v>32</v>
      </c>
    </row>
    <row r="33" spans="1:15" s="15" customFormat="1" ht="61.5" customHeight="1">
      <c r="A33" s="310">
        <v>5</v>
      </c>
      <c r="B33" s="306" t="s">
        <v>536</v>
      </c>
      <c r="C33" s="286" t="s">
        <v>108</v>
      </c>
      <c r="D33" s="307">
        <v>80</v>
      </c>
      <c r="E33" s="307">
        <f t="shared" si="3"/>
        <v>80</v>
      </c>
      <c r="F33" s="308">
        <v>0</v>
      </c>
      <c r="G33" s="290">
        <f>D33-F33</f>
        <v>80</v>
      </c>
      <c r="H33" s="390">
        <f t="shared" si="4"/>
        <v>80</v>
      </c>
      <c r="I33" s="308"/>
      <c r="J33" s="291"/>
      <c r="K33" s="290"/>
      <c r="L33" s="290">
        <v>80</v>
      </c>
      <c r="M33" s="308"/>
      <c r="N33" s="309"/>
      <c r="O33" s="301" t="s">
        <v>32</v>
      </c>
    </row>
    <row r="34" spans="1:15" s="15" customFormat="1" ht="63.75" customHeight="1">
      <c r="A34" s="310">
        <v>6</v>
      </c>
      <c r="B34" s="306" t="s">
        <v>537</v>
      </c>
      <c r="C34" s="286" t="s">
        <v>108</v>
      </c>
      <c r="D34" s="307">
        <v>100</v>
      </c>
      <c r="E34" s="307">
        <f t="shared" si="3"/>
        <v>100</v>
      </c>
      <c r="F34" s="308">
        <v>0</v>
      </c>
      <c r="G34" s="290">
        <f>D34-F34</f>
        <v>100</v>
      </c>
      <c r="H34" s="390">
        <f t="shared" si="4"/>
        <v>100</v>
      </c>
      <c r="I34" s="308"/>
      <c r="J34" s="291"/>
      <c r="K34" s="290"/>
      <c r="L34" s="290">
        <v>100</v>
      </c>
      <c r="M34" s="308"/>
      <c r="N34" s="309"/>
      <c r="O34" s="301" t="s">
        <v>32</v>
      </c>
    </row>
    <row r="35" spans="1:15" ht="35.25" customHeight="1">
      <c r="A35" s="265"/>
      <c r="C35" s="145" t="s">
        <v>18</v>
      </c>
      <c r="D35" s="223">
        <f aca="true" t="shared" si="5" ref="D35:N35">SUM(D29:D34)</f>
        <v>53551</v>
      </c>
      <c r="E35" s="223">
        <f t="shared" si="5"/>
        <v>53551</v>
      </c>
      <c r="F35" s="223">
        <f t="shared" si="5"/>
        <v>0</v>
      </c>
      <c r="G35" s="223">
        <f t="shared" si="5"/>
        <v>53551</v>
      </c>
      <c r="H35" s="399">
        <f t="shared" si="5"/>
        <v>33551</v>
      </c>
      <c r="I35" s="223">
        <f t="shared" si="5"/>
        <v>0</v>
      </c>
      <c r="J35" s="223">
        <f t="shared" si="5"/>
        <v>0</v>
      </c>
      <c r="K35" s="223">
        <f t="shared" si="5"/>
        <v>31570</v>
      </c>
      <c r="L35" s="223">
        <f t="shared" si="5"/>
        <v>1981</v>
      </c>
      <c r="M35" s="223">
        <f t="shared" si="5"/>
        <v>0</v>
      </c>
      <c r="N35" s="223">
        <f t="shared" si="5"/>
        <v>0</v>
      </c>
      <c r="O35" s="132"/>
    </row>
    <row r="36" spans="1:15" ht="35.25" customHeight="1">
      <c r="A36" s="452"/>
      <c r="C36" s="116"/>
      <c r="D36" s="132"/>
      <c r="E36" s="132"/>
      <c r="F36" s="132"/>
      <c r="G36" s="132"/>
      <c r="H36" s="132"/>
      <c r="I36" s="132"/>
      <c r="J36" s="132"/>
      <c r="K36" s="132"/>
      <c r="L36" s="132"/>
      <c r="M36" s="132"/>
      <c r="N36" s="132"/>
      <c r="O36" s="132"/>
    </row>
    <row r="37" spans="1:15" ht="35.25" customHeight="1">
      <c r="A37" s="452"/>
      <c r="C37" s="116"/>
      <c r="D37" s="132"/>
      <c r="E37" s="132"/>
      <c r="F37" s="132"/>
      <c r="G37" s="132"/>
      <c r="H37" s="132"/>
      <c r="I37" s="132"/>
      <c r="J37" s="132"/>
      <c r="K37" s="132"/>
      <c r="L37" s="132"/>
      <c r="M37" s="132"/>
      <c r="N37" s="132"/>
      <c r="O37" s="132"/>
    </row>
    <row r="38" spans="1:15" ht="12" customHeight="1">
      <c r="A38" s="265"/>
      <c r="C38" s="116"/>
      <c r="D38" s="132"/>
      <c r="E38" s="132"/>
      <c r="F38" s="132"/>
      <c r="G38" s="132"/>
      <c r="H38" s="132"/>
      <c r="I38" s="132"/>
      <c r="J38" s="132"/>
      <c r="K38" s="132"/>
      <c r="L38" s="132"/>
      <c r="M38" s="132"/>
      <c r="N38" s="132"/>
      <c r="O38" s="132"/>
    </row>
    <row r="39" spans="1:15" ht="12" customHeight="1">
      <c r="A39" s="358"/>
      <c r="C39" s="116"/>
      <c r="D39" s="132"/>
      <c r="E39" s="132"/>
      <c r="F39" s="132"/>
      <c r="G39" s="132"/>
      <c r="H39" s="132"/>
      <c r="I39" s="132"/>
      <c r="J39" s="132"/>
      <c r="K39" s="132"/>
      <c r="L39" s="132"/>
      <c r="M39" s="132"/>
      <c r="N39" s="132"/>
      <c r="O39" s="132"/>
    </row>
    <row r="40" spans="1:15" ht="25.5" customHeight="1" thickBot="1">
      <c r="A40" s="90" t="s">
        <v>89</v>
      </c>
      <c r="B40" s="253"/>
      <c r="C40" s="115"/>
      <c r="D40" s="116"/>
      <c r="E40" s="125"/>
      <c r="F40" s="125"/>
      <c r="G40" s="125"/>
      <c r="H40" s="125"/>
      <c r="I40" s="125"/>
      <c r="J40" s="125"/>
      <c r="K40" s="125"/>
      <c r="L40" s="125"/>
      <c r="M40" s="125"/>
      <c r="N40" s="107" t="s">
        <v>16</v>
      </c>
      <c r="O40" s="126"/>
    </row>
    <row r="41" spans="1:15" ht="48" thickBot="1">
      <c r="A41" s="224" t="s">
        <v>17</v>
      </c>
      <c r="B41" s="225" t="s">
        <v>19</v>
      </c>
      <c r="C41" s="226" t="s">
        <v>47</v>
      </c>
      <c r="D41" s="225" t="s">
        <v>185</v>
      </c>
      <c r="E41" s="227" t="s">
        <v>44</v>
      </c>
      <c r="F41" s="228" t="s">
        <v>395</v>
      </c>
      <c r="G41" s="228" t="s">
        <v>93</v>
      </c>
      <c r="H41" s="387" t="s">
        <v>396</v>
      </c>
      <c r="I41" s="108" t="s">
        <v>388</v>
      </c>
      <c r="J41" s="109" t="s">
        <v>45</v>
      </c>
      <c r="K41" s="229" t="s">
        <v>392</v>
      </c>
      <c r="L41" s="228" t="s">
        <v>173</v>
      </c>
      <c r="M41" s="228" t="s">
        <v>21</v>
      </c>
      <c r="N41" s="230" t="s">
        <v>31</v>
      </c>
      <c r="O41" s="106"/>
    </row>
    <row r="42" spans="1:15" ht="54.75" customHeight="1">
      <c r="A42" s="315">
        <v>1</v>
      </c>
      <c r="B42" s="311" t="s">
        <v>342</v>
      </c>
      <c r="C42" s="312" t="s">
        <v>219</v>
      </c>
      <c r="D42" s="307">
        <v>500</v>
      </c>
      <c r="E42" s="293">
        <f>D42</f>
        <v>500</v>
      </c>
      <c r="F42" s="308">
        <v>0</v>
      </c>
      <c r="G42" s="290">
        <f>D42-F42</f>
        <v>500</v>
      </c>
      <c r="H42" s="388">
        <f>SUM(K42:N42)</f>
        <v>500</v>
      </c>
      <c r="I42" s="291"/>
      <c r="J42" s="291"/>
      <c r="K42" s="290">
        <v>0</v>
      </c>
      <c r="L42" s="290"/>
      <c r="M42" s="308">
        <v>500</v>
      </c>
      <c r="N42" s="290"/>
      <c r="O42" s="323" t="s">
        <v>32</v>
      </c>
    </row>
    <row r="43" spans="1:15" ht="45.75" customHeight="1">
      <c r="A43" s="315">
        <v>2</v>
      </c>
      <c r="B43" s="311" t="s">
        <v>506</v>
      </c>
      <c r="C43" s="312" t="s">
        <v>211</v>
      </c>
      <c r="D43" s="307">
        <v>2737</v>
      </c>
      <c r="E43" s="293">
        <f>D43</f>
        <v>2737</v>
      </c>
      <c r="F43" s="308">
        <v>0</v>
      </c>
      <c r="G43" s="290">
        <f>D43-F43</f>
        <v>2737</v>
      </c>
      <c r="H43" s="388">
        <f>SUM(K43:N43)</f>
        <v>2737</v>
      </c>
      <c r="I43" s="291"/>
      <c r="J43" s="291"/>
      <c r="K43" s="290">
        <v>0</v>
      </c>
      <c r="L43" s="290"/>
      <c r="M43" s="308">
        <v>2737</v>
      </c>
      <c r="N43" s="290"/>
      <c r="O43" s="323" t="s">
        <v>32</v>
      </c>
    </row>
    <row r="44" spans="1:15" ht="33.75" customHeight="1">
      <c r="A44" s="115"/>
      <c r="B44" s="116"/>
      <c r="C44" s="115" t="s">
        <v>18</v>
      </c>
      <c r="D44" s="128">
        <f>SUM(D42:D43)</f>
        <v>3237</v>
      </c>
      <c r="E44" s="128">
        <f aca="true" t="shared" si="6" ref="E44:N44">SUM(E42:E43)</f>
        <v>3237</v>
      </c>
      <c r="F44" s="128">
        <f t="shared" si="6"/>
        <v>0</v>
      </c>
      <c r="G44" s="128">
        <f t="shared" si="6"/>
        <v>3237</v>
      </c>
      <c r="H44" s="397">
        <f t="shared" si="6"/>
        <v>3237</v>
      </c>
      <c r="I44" s="128">
        <f t="shared" si="6"/>
        <v>0</v>
      </c>
      <c r="J44" s="128">
        <f t="shared" si="6"/>
        <v>0</v>
      </c>
      <c r="K44" s="128">
        <f t="shared" si="6"/>
        <v>0</v>
      </c>
      <c r="L44" s="128">
        <f t="shared" si="6"/>
        <v>0</v>
      </c>
      <c r="M44" s="128">
        <f t="shared" si="6"/>
        <v>3237</v>
      </c>
      <c r="N44" s="128">
        <f t="shared" si="6"/>
        <v>0</v>
      </c>
      <c r="O44" s="118"/>
    </row>
    <row r="45" spans="1:15" ht="27.75" customHeight="1">
      <c r="A45" s="115"/>
      <c r="B45" s="116"/>
      <c r="C45" s="115"/>
      <c r="D45" s="157"/>
      <c r="E45" s="157"/>
      <c r="F45" s="157"/>
      <c r="G45" s="157"/>
      <c r="H45" s="157"/>
      <c r="I45" s="157"/>
      <c r="J45" s="157"/>
      <c r="K45" s="157"/>
      <c r="L45" s="157"/>
      <c r="M45" s="157"/>
      <c r="N45" s="157"/>
      <c r="O45" s="118"/>
    </row>
    <row r="46" spans="1:15" ht="21" customHeight="1">
      <c r="A46" s="115"/>
      <c r="B46" s="254"/>
      <c r="C46" s="115"/>
      <c r="D46" s="157"/>
      <c r="E46" s="157"/>
      <c r="F46" s="157"/>
      <c r="G46" s="157"/>
      <c r="H46" s="157"/>
      <c r="I46" s="157"/>
      <c r="J46" s="157"/>
      <c r="K46" s="157"/>
      <c r="L46" s="157"/>
      <c r="M46" s="157"/>
      <c r="N46" s="157"/>
      <c r="O46" s="118"/>
    </row>
    <row r="47" spans="1:15" ht="18.75" customHeight="1" hidden="1">
      <c r="A47" s="115"/>
      <c r="B47" s="254"/>
      <c r="C47" s="115"/>
      <c r="D47" s="157"/>
      <c r="E47" s="157"/>
      <c r="F47" s="157"/>
      <c r="G47" s="157"/>
      <c r="H47" s="157"/>
      <c r="I47" s="157"/>
      <c r="J47" s="157"/>
      <c r="K47" s="157"/>
      <c r="L47" s="157"/>
      <c r="M47" s="157"/>
      <c r="N47" s="157"/>
      <c r="O47" s="118"/>
    </row>
    <row r="48" spans="1:14" ht="21.75" customHeight="1" hidden="1">
      <c r="A48" s="265"/>
      <c r="C48" s="116"/>
      <c r="D48" s="132"/>
      <c r="E48" s="132"/>
      <c r="F48" s="132"/>
      <c r="G48" s="132"/>
      <c r="H48" s="132"/>
      <c r="I48" s="132"/>
      <c r="J48" s="132"/>
      <c r="K48" s="132"/>
      <c r="L48" s="132"/>
      <c r="M48" s="132"/>
      <c r="N48" s="132"/>
    </row>
    <row r="49" spans="1:15" ht="27.75" customHeight="1" hidden="1" thickBot="1">
      <c r="A49" s="98" t="s">
        <v>57</v>
      </c>
      <c r="B49" s="18"/>
      <c r="C49" s="18"/>
      <c r="D49" s="18"/>
      <c r="E49" s="18"/>
      <c r="F49" s="18"/>
      <c r="G49" s="18"/>
      <c r="H49" s="15"/>
      <c r="I49" s="15"/>
      <c r="J49" s="15"/>
      <c r="K49" s="15"/>
      <c r="L49" s="65"/>
      <c r="M49" s="15"/>
      <c r="N49" s="129" t="s">
        <v>16</v>
      </c>
      <c r="O49" s="255"/>
    </row>
    <row r="50" spans="1:15" s="15" customFormat="1" ht="54.75" customHeight="1" hidden="1" thickBot="1">
      <c r="A50" s="224" t="s">
        <v>17</v>
      </c>
      <c r="B50" s="225" t="s">
        <v>19</v>
      </c>
      <c r="C50" s="226" t="s">
        <v>47</v>
      </c>
      <c r="D50" s="225" t="s">
        <v>185</v>
      </c>
      <c r="E50" s="227" t="s">
        <v>44</v>
      </c>
      <c r="F50" s="228" t="s">
        <v>186</v>
      </c>
      <c r="G50" s="228" t="s">
        <v>93</v>
      </c>
      <c r="H50" s="228" t="s">
        <v>187</v>
      </c>
      <c r="I50" s="108" t="s">
        <v>46</v>
      </c>
      <c r="J50" s="109" t="s">
        <v>45</v>
      </c>
      <c r="K50" s="229" t="s">
        <v>72</v>
      </c>
      <c r="L50" s="228" t="s">
        <v>173</v>
      </c>
      <c r="M50" s="228" t="s">
        <v>21</v>
      </c>
      <c r="N50" s="230" t="s">
        <v>31</v>
      </c>
      <c r="O50" s="144"/>
    </row>
    <row r="51" spans="1:15" ht="57" customHeight="1" hidden="1">
      <c r="A51" s="234">
        <v>1</v>
      </c>
      <c r="B51" s="164"/>
      <c r="C51" s="235" t="s">
        <v>195</v>
      </c>
      <c r="D51" s="201"/>
      <c r="E51" s="201">
        <f>D51</f>
        <v>0</v>
      </c>
      <c r="F51" s="201">
        <v>0</v>
      </c>
      <c r="G51" s="202">
        <f>E51-F51</f>
        <v>0</v>
      </c>
      <c r="H51" s="203">
        <f>SUM(I51:N51)</f>
        <v>0</v>
      </c>
      <c r="I51" s="201"/>
      <c r="J51" s="201"/>
      <c r="K51" s="201"/>
      <c r="L51" s="201"/>
      <c r="M51" s="201"/>
      <c r="N51" s="201"/>
      <c r="O51" s="149" t="s">
        <v>127</v>
      </c>
    </row>
    <row r="52" spans="1:14" ht="25.5" customHeight="1" hidden="1">
      <c r="A52" s="237"/>
      <c r="C52" s="256" t="s">
        <v>18</v>
      </c>
      <c r="D52" s="257">
        <f aca="true" t="shared" si="7" ref="D52:N52">SUM(D51:D51)</f>
        <v>0</v>
      </c>
      <c r="E52" s="257">
        <f t="shared" si="7"/>
        <v>0</v>
      </c>
      <c r="F52" s="257">
        <f t="shared" si="7"/>
        <v>0</v>
      </c>
      <c r="G52" s="257">
        <f t="shared" si="7"/>
        <v>0</v>
      </c>
      <c r="H52" s="257">
        <f t="shared" si="7"/>
        <v>0</v>
      </c>
      <c r="I52" s="257">
        <f t="shared" si="7"/>
        <v>0</v>
      </c>
      <c r="J52" s="257">
        <f t="shared" si="7"/>
        <v>0</v>
      </c>
      <c r="K52" s="257">
        <f t="shared" si="7"/>
        <v>0</v>
      </c>
      <c r="L52" s="257">
        <f t="shared" si="7"/>
        <v>0</v>
      </c>
      <c r="M52" s="257">
        <f t="shared" si="7"/>
        <v>0</v>
      </c>
      <c r="N52" s="257">
        <f t="shared" si="7"/>
        <v>0</v>
      </c>
    </row>
    <row r="53" spans="1:14" ht="25.5" customHeight="1" hidden="1">
      <c r="A53" s="237"/>
      <c r="C53" s="258"/>
      <c r="D53" s="259"/>
      <c r="E53" s="259"/>
      <c r="F53" s="259"/>
      <c r="G53" s="259"/>
      <c r="H53" s="259"/>
      <c r="I53" s="259"/>
      <c r="J53" s="259"/>
      <c r="K53" s="259"/>
      <c r="L53" s="259"/>
      <c r="M53" s="259"/>
      <c r="N53" s="259"/>
    </row>
    <row r="54" spans="1:15" s="94" customFormat="1" ht="27" customHeight="1" thickBot="1">
      <c r="A54" s="266" t="s">
        <v>27</v>
      </c>
      <c r="B54" s="13"/>
      <c r="C54" s="13"/>
      <c r="D54" s="92"/>
      <c r="E54" s="92"/>
      <c r="F54" s="13"/>
      <c r="G54" s="13"/>
      <c r="J54" s="13"/>
      <c r="L54" s="107"/>
      <c r="M54" s="142"/>
      <c r="N54" s="129" t="s">
        <v>16</v>
      </c>
      <c r="O54" s="143"/>
    </row>
    <row r="55" spans="1:15" s="94" customFormat="1" ht="48" thickBot="1">
      <c r="A55" s="224" t="s">
        <v>17</v>
      </c>
      <c r="B55" s="225" t="s">
        <v>19</v>
      </c>
      <c r="C55" s="226" t="s">
        <v>47</v>
      </c>
      <c r="D55" s="225" t="s">
        <v>185</v>
      </c>
      <c r="E55" s="227" t="s">
        <v>44</v>
      </c>
      <c r="F55" s="228" t="s">
        <v>395</v>
      </c>
      <c r="G55" s="228" t="s">
        <v>93</v>
      </c>
      <c r="H55" s="387" t="s">
        <v>396</v>
      </c>
      <c r="I55" s="108" t="s">
        <v>388</v>
      </c>
      <c r="J55" s="109" t="s">
        <v>45</v>
      </c>
      <c r="K55" s="229" t="s">
        <v>392</v>
      </c>
      <c r="L55" s="228" t="s">
        <v>173</v>
      </c>
      <c r="M55" s="228" t="s">
        <v>21</v>
      </c>
      <c r="N55" s="230" t="s">
        <v>31</v>
      </c>
      <c r="O55" s="143"/>
    </row>
    <row r="56" spans="1:15" s="94" customFormat="1" ht="48.75" customHeight="1">
      <c r="A56" s="295">
        <v>1</v>
      </c>
      <c r="B56" s="306" t="s">
        <v>215</v>
      </c>
      <c r="C56" s="312" t="s">
        <v>211</v>
      </c>
      <c r="D56" s="307">
        <v>300</v>
      </c>
      <c r="E56" s="293">
        <f>D56</f>
        <v>300</v>
      </c>
      <c r="F56" s="308">
        <v>0</v>
      </c>
      <c r="G56" s="290">
        <f>D56-F56</f>
        <v>300</v>
      </c>
      <c r="H56" s="388">
        <f>SUM(K56:N56)</f>
        <v>300</v>
      </c>
      <c r="I56" s="291"/>
      <c r="J56" s="291"/>
      <c r="K56" s="290">
        <v>0</v>
      </c>
      <c r="L56" s="290"/>
      <c r="M56" s="308">
        <v>300</v>
      </c>
      <c r="N56" s="290"/>
      <c r="O56" s="294" t="s">
        <v>32</v>
      </c>
    </row>
    <row r="57" spans="1:15" s="94" customFormat="1" ht="55.5">
      <c r="A57" s="295">
        <v>2</v>
      </c>
      <c r="B57" s="306" t="s">
        <v>501</v>
      </c>
      <c r="C57" s="312" t="s">
        <v>211</v>
      </c>
      <c r="D57" s="307">
        <v>900</v>
      </c>
      <c r="E57" s="293">
        <f>D57</f>
        <v>900</v>
      </c>
      <c r="F57" s="308">
        <v>0</v>
      </c>
      <c r="G57" s="290">
        <f>D57-F57</f>
        <v>900</v>
      </c>
      <c r="H57" s="388">
        <f>SUM(K57:N57)</f>
        <v>900</v>
      </c>
      <c r="I57" s="291"/>
      <c r="J57" s="291"/>
      <c r="K57" s="290">
        <v>0</v>
      </c>
      <c r="L57" s="290"/>
      <c r="M57" s="308">
        <v>900</v>
      </c>
      <c r="N57" s="290"/>
      <c r="O57" s="294" t="s">
        <v>32</v>
      </c>
    </row>
    <row r="58" spans="1:15" s="94" customFormat="1" ht="42.75" customHeight="1">
      <c r="A58" s="295">
        <v>3</v>
      </c>
      <c r="B58" s="314" t="s">
        <v>129</v>
      </c>
      <c r="C58" s="312" t="s">
        <v>219</v>
      </c>
      <c r="D58" s="343">
        <f>20+1</f>
        <v>21</v>
      </c>
      <c r="E58" s="343">
        <f>D58</f>
        <v>21</v>
      </c>
      <c r="F58" s="343">
        <v>20</v>
      </c>
      <c r="G58" s="344">
        <f>E58-F58</f>
        <v>1</v>
      </c>
      <c r="H58" s="400">
        <f>SUM(I58:M58)</f>
        <v>1</v>
      </c>
      <c r="I58" s="345"/>
      <c r="J58" s="345"/>
      <c r="K58" s="345"/>
      <c r="L58" s="345"/>
      <c r="M58" s="345">
        <v>1</v>
      </c>
      <c r="N58" s="343"/>
      <c r="O58" s="301" t="s">
        <v>32</v>
      </c>
    </row>
    <row r="59" spans="1:15" s="94" customFormat="1" ht="47.25" customHeight="1">
      <c r="A59" s="295">
        <v>4</v>
      </c>
      <c r="B59" s="314" t="s">
        <v>130</v>
      </c>
      <c r="C59" s="312" t="s">
        <v>219</v>
      </c>
      <c r="D59" s="343">
        <v>180</v>
      </c>
      <c r="E59" s="343">
        <f>D59</f>
        <v>180</v>
      </c>
      <c r="F59" s="343">
        <v>0</v>
      </c>
      <c r="G59" s="344">
        <f>E59-F59</f>
        <v>180</v>
      </c>
      <c r="H59" s="400">
        <f>SUM(I59:M59)</f>
        <v>180</v>
      </c>
      <c r="I59" s="345"/>
      <c r="J59" s="345"/>
      <c r="K59" s="345"/>
      <c r="L59" s="345"/>
      <c r="M59" s="345">
        <v>180</v>
      </c>
      <c r="N59" s="343"/>
      <c r="O59" s="301" t="s">
        <v>32</v>
      </c>
    </row>
    <row r="60" spans="1:15" s="94" customFormat="1" ht="68.25" customHeight="1">
      <c r="A60" s="295">
        <v>5</v>
      </c>
      <c r="B60" s="314" t="s">
        <v>236</v>
      </c>
      <c r="C60" s="312" t="s">
        <v>219</v>
      </c>
      <c r="D60" s="343">
        <f>20+1</f>
        <v>21</v>
      </c>
      <c r="E60" s="343">
        <f>D60</f>
        <v>21</v>
      </c>
      <c r="F60" s="343">
        <v>20</v>
      </c>
      <c r="G60" s="344">
        <f>E60-F60</f>
        <v>1</v>
      </c>
      <c r="H60" s="400">
        <f>SUM(I60:M60)</f>
        <v>1</v>
      </c>
      <c r="I60" s="345"/>
      <c r="J60" s="345"/>
      <c r="K60" s="345"/>
      <c r="L60" s="345"/>
      <c r="M60" s="345">
        <v>1</v>
      </c>
      <c r="N60" s="343"/>
      <c r="O60" s="301" t="s">
        <v>32</v>
      </c>
    </row>
    <row r="61" spans="1:15" s="94" customFormat="1" ht="75" customHeight="1">
      <c r="A61" s="295">
        <v>6</v>
      </c>
      <c r="B61" s="296" t="s">
        <v>473</v>
      </c>
      <c r="C61" s="297" t="s">
        <v>464</v>
      </c>
      <c r="D61" s="298">
        <v>13813</v>
      </c>
      <c r="E61" s="298">
        <f aca="true" t="shared" si="8" ref="E61:E66">D61</f>
        <v>13813</v>
      </c>
      <c r="F61" s="298">
        <v>0</v>
      </c>
      <c r="G61" s="298">
        <f>E61-F61</f>
        <v>13813</v>
      </c>
      <c r="H61" s="393">
        <f>SUM(J61:N61)</f>
        <v>13813</v>
      </c>
      <c r="I61" s="299"/>
      <c r="J61" s="299"/>
      <c r="K61" s="299"/>
      <c r="L61" s="300">
        <v>13813</v>
      </c>
      <c r="M61" s="299">
        <v>0</v>
      </c>
      <c r="N61" s="299"/>
      <c r="O61" s="301" t="s">
        <v>32</v>
      </c>
    </row>
    <row r="62" spans="1:15" s="94" customFormat="1" ht="75" customHeight="1">
      <c r="A62" s="295">
        <v>7</v>
      </c>
      <c r="B62" s="285" t="s">
        <v>472</v>
      </c>
      <c r="C62" s="286" t="s">
        <v>464</v>
      </c>
      <c r="D62" s="287">
        <v>350</v>
      </c>
      <c r="E62" s="288">
        <f>D62</f>
        <v>350</v>
      </c>
      <c r="F62" s="289">
        <v>0</v>
      </c>
      <c r="G62" s="290">
        <f aca="true" t="shared" si="9" ref="G62:G67">D62-F62</f>
        <v>350</v>
      </c>
      <c r="H62" s="388">
        <f aca="true" t="shared" si="10" ref="H62:H67">SUM(K62:N62)</f>
        <v>350</v>
      </c>
      <c r="I62" s="292"/>
      <c r="J62" s="292"/>
      <c r="K62" s="289"/>
      <c r="L62" s="289">
        <v>350</v>
      </c>
      <c r="M62" s="293">
        <v>0</v>
      </c>
      <c r="N62" s="290"/>
      <c r="O62" s="294" t="s">
        <v>32</v>
      </c>
    </row>
    <row r="63" spans="1:15" s="94" customFormat="1" ht="67.5" customHeight="1">
      <c r="A63" s="295">
        <v>8</v>
      </c>
      <c r="B63" s="285" t="s">
        <v>471</v>
      </c>
      <c r="C63" s="286" t="s">
        <v>464</v>
      </c>
      <c r="D63" s="287">
        <v>1913</v>
      </c>
      <c r="E63" s="288">
        <f t="shared" si="8"/>
        <v>1913</v>
      </c>
      <c r="F63" s="289">
        <v>0</v>
      </c>
      <c r="G63" s="290">
        <f t="shared" si="9"/>
        <v>1913</v>
      </c>
      <c r="H63" s="388">
        <f t="shared" si="10"/>
        <v>1913</v>
      </c>
      <c r="I63" s="292"/>
      <c r="J63" s="292"/>
      <c r="K63" s="289"/>
      <c r="L63" s="289">
        <v>1913</v>
      </c>
      <c r="M63" s="293">
        <v>0</v>
      </c>
      <c r="N63" s="290"/>
      <c r="O63" s="294" t="s">
        <v>32</v>
      </c>
    </row>
    <row r="64" spans="1:15" s="94" customFormat="1" ht="48.75" customHeight="1">
      <c r="A64" s="295">
        <v>9</v>
      </c>
      <c r="B64" s="285" t="s">
        <v>470</v>
      </c>
      <c r="C64" s="286" t="s">
        <v>464</v>
      </c>
      <c r="D64" s="287">
        <v>2119</v>
      </c>
      <c r="E64" s="288">
        <f t="shared" si="8"/>
        <v>2119</v>
      </c>
      <c r="F64" s="289">
        <v>0</v>
      </c>
      <c r="G64" s="290">
        <f t="shared" si="9"/>
        <v>2119</v>
      </c>
      <c r="H64" s="388">
        <f t="shared" si="10"/>
        <v>2119</v>
      </c>
      <c r="I64" s="292"/>
      <c r="J64" s="292"/>
      <c r="K64" s="289"/>
      <c r="L64" s="289">
        <v>2119</v>
      </c>
      <c r="M64" s="293">
        <v>0</v>
      </c>
      <c r="N64" s="290"/>
      <c r="O64" s="294" t="s">
        <v>32</v>
      </c>
    </row>
    <row r="65" spans="1:15" s="94" customFormat="1" ht="48.75" customHeight="1">
      <c r="A65" s="295">
        <v>10</v>
      </c>
      <c r="B65" s="285" t="s">
        <v>469</v>
      </c>
      <c r="C65" s="286" t="s">
        <v>464</v>
      </c>
      <c r="D65" s="287">
        <v>500</v>
      </c>
      <c r="E65" s="288">
        <f>D65</f>
        <v>500</v>
      </c>
      <c r="F65" s="289">
        <v>0</v>
      </c>
      <c r="G65" s="290">
        <f t="shared" si="9"/>
        <v>500</v>
      </c>
      <c r="H65" s="388">
        <f t="shared" si="10"/>
        <v>500</v>
      </c>
      <c r="I65" s="292"/>
      <c r="J65" s="292"/>
      <c r="K65" s="289"/>
      <c r="L65" s="289">
        <v>500</v>
      </c>
      <c r="M65" s="293">
        <v>0</v>
      </c>
      <c r="N65" s="290"/>
      <c r="O65" s="294" t="s">
        <v>32</v>
      </c>
    </row>
    <row r="66" spans="1:15" s="94" customFormat="1" ht="48.75" customHeight="1">
      <c r="A66" s="295">
        <v>11</v>
      </c>
      <c r="B66" s="285" t="s">
        <v>467</v>
      </c>
      <c r="C66" s="286" t="s">
        <v>464</v>
      </c>
      <c r="D66" s="287">
        <v>400</v>
      </c>
      <c r="E66" s="288">
        <f t="shared" si="8"/>
        <v>400</v>
      </c>
      <c r="F66" s="289">
        <v>0</v>
      </c>
      <c r="G66" s="290">
        <f t="shared" si="9"/>
        <v>400</v>
      </c>
      <c r="H66" s="388">
        <f t="shared" si="10"/>
        <v>400</v>
      </c>
      <c r="I66" s="292"/>
      <c r="J66" s="292"/>
      <c r="K66" s="289"/>
      <c r="L66" s="289">
        <v>400</v>
      </c>
      <c r="M66" s="293">
        <v>0</v>
      </c>
      <c r="N66" s="290"/>
      <c r="O66" s="294" t="s">
        <v>32</v>
      </c>
    </row>
    <row r="67" spans="1:15" s="94" customFormat="1" ht="48.75" customHeight="1">
      <c r="A67" s="295">
        <v>12</v>
      </c>
      <c r="B67" s="285" t="s">
        <v>468</v>
      </c>
      <c r="C67" s="286" t="s">
        <v>464</v>
      </c>
      <c r="D67" s="287">
        <v>1315</v>
      </c>
      <c r="E67" s="288">
        <f>D67</f>
        <v>1315</v>
      </c>
      <c r="F67" s="289">
        <v>0</v>
      </c>
      <c r="G67" s="290">
        <f t="shared" si="9"/>
        <v>1315</v>
      </c>
      <c r="H67" s="388">
        <f t="shared" si="10"/>
        <v>1315</v>
      </c>
      <c r="I67" s="292"/>
      <c r="J67" s="292"/>
      <c r="K67" s="289"/>
      <c r="L67" s="289">
        <v>1315</v>
      </c>
      <c r="M67" s="293">
        <v>0</v>
      </c>
      <c r="N67" s="290"/>
      <c r="O67" s="294" t="s">
        <v>32</v>
      </c>
    </row>
    <row r="68" spans="1:15" s="95" customFormat="1" ht="36" customHeight="1">
      <c r="A68" s="146"/>
      <c r="B68" s="159"/>
      <c r="C68" s="147" t="s">
        <v>18</v>
      </c>
      <c r="D68" s="189">
        <f aca="true" t="shared" si="11" ref="D68:N68">SUM(D56:D67)</f>
        <v>21832</v>
      </c>
      <c r="E68" s="189">
        <f t="shared" si="11"/>
        <v>21832</v>
      </c>
      <c r="F68" s="189">
        <f t="shared" si="11"/>
        <v>40</v>
      </c>
      <c r="G68" s="189">
        <f t="shared" si="11"/>
        <v>21792</v>
      </c>
      <c r="H68" s="401">
        <f t="shared" si="11"/>
        <v>21792</v>
      </c>
      <c r="I68" s="189">
        <f t="shared" si="11"/>
        <v>0</v>
      </c>
      <c r="J68" s="189">
        <f t="shared" si="11"/>
        <v>0</v>
      </c>
      <c r="K68" s="189">
        <f t="shared" si="11"/>
        <v>0</v>
      </c>
      <c r="L68" s="189">
        <f t="shared" si="11"/>
        <v>20410</v>
      </c>
      <c r="M68" s="189">
        <f t="shared" si="11"/>
        <v>1382</v>
      </c>
      <c r="N68" s="189">
        <f t="shared" si="11"/>
        <v>0</v>
      </c>
      <c r="O68" s="148"/>
    </row>
    <row r="69" spans="1:15" s="95" customFormat="1" ht="36" customHeight="1">
      <c r="A69" s="146"/>
      <c r="B69" s="159"/>
      <c r="C69" s="160"/>
      <c r="D69" s="173"/>
      <c r="E69" s="173"/>
      <c r="F69" s="173"/>
      <c r="G69" s="173"/>
      <c r="H69" s="173"/>
      <c r="I69" s="173"/>
      <c r="J69" s="173"/>
      <c r="K69" s="173"/>
      <c r="L69" s="173"/>
      <c r="M69" s="173"/>
      <c r="N69" s="173"/>
      <c r="O69" s="148"/>
    </row>
    <row r="70" spans="1:15" s="95" customFormat="1" ht="24" customHeight="1">
      <c r="A70" s="146"/>
      <c r="B70" s="159"/>
      <c r="C70" s="160"/>
      <c r="D70" s="173"/>
      <c r="E70" s="173"/>
      <c r="F70" s="173"/>
      <c r="G70" s="173"/>
      <c r="H70" s="173"/>
      <c r="I70" s="173"/>
      <c r="J70" s="173"/>
      <c r="K70" s="173"/>
      <c r="L70" s="173"/>
      <c r="M70" s="173"/>
      <c r="N70" s="173"/>
      <c r="O70" s="148"/>
    </row>
    <row r="71" spans="1:15" s="95" customFormat="1" ht="34.5" customHeight="1" thickBot="1">
      <c r="A71" s="90" t="s">
        <v>71</v>
      </c>
      <c r="B71" s="94"/>
      <c r="C71" s="91"/>
      <c r="D71" s="13"/>
      <c r="E71" s="92"/>
      <c r="F71" s="13"/>
      <c r="G71" s="13"/>
      <c r="H71" s="13"/>
      <c r="I71" s="13"/>
      <c r="J71" s="13"/>
      <c r="K71" s="13"/>
      <c r="L71" s="93" t="s">
        <v>16</v>
      </c>
      <c r="M71" s="86"/>
      <c r="N71" s="94"/>
      <c r="O71" s="143"/>
    </row>
    <row r="72" spans="1:15" s="95" customFormat="1" ht="47.25" customHeight="1" thickBot="1">
      <c r="A72" s="224" t="s">
        <v>17</v>
      </c>
      <c r="B72" s="225" t="s">
        <v>19</v>
      </c>
      <c r="C72" s="226" t="s">
        <v>47</v>
      </c>
      <c r="D72" s="225" t="s">
        <v>185</v>
      </c>
      <c r="E72" s="227" t="s">
        <v>44</v>
      </c>
      <c r="F72" s="228" t="s">
        <v>395</v>
      </c>
      <c r="G72" s="228" t="s">
        <v>93</v>
      </c>
      <c r="H72" s="387" t="s">
        <v>396</v>
      </c>
      <c r="I72" s="108" t="s">
        <v>388</v>
      </c>
      <c r="J72" s="109" t="s">
        <v>45</v>
      </c>
      <c r="K72" s="229" t="s">
        <v>392</v>
      </c>
      <c r="L72" s="228" t="s">
        <v>173</v>
      </c>
      <c r="M72" s="228" t="s">
        <v>21</v>
      </c>
      <c r="N72" s="230" t="s">
        <v>31</v>
      </c>
      <c r="O72" s="144"/>
    </row>
    <row r="73" spans="1:15" s="95" customFormat="1" ht="201.75" customHeight="1">
      <c r="A73" s="295">
        <v>1</v>
      </c>
      <c r="B73" s="344" t="s">
        <v>128</v>
      </c>
      <c r="C73" s="312" t="s">
        <v>219</v>
      </c>
      <c r="D73" s="298">
        <f>4212+300</f>
        <v>4512</v>
      </c>
      <c r="E73" s="298">
        <f>D73</f>
        <v>4512</v>
      </c>
      <c r="F73" s="298">
        <f>1505+2086+621</f>
        <v>4212</v>
      </c>
      <c r="G73" s="298">
        <f>E73-F73</f>
        <v>300</v>
      </c>
      <c r="H73" s="393">
        <f>SUM(J73:N73)</f>
        <v>300</v>
      </c>
      <c r="I73" s="299"/>
      <c r="J73" s="299"/>
      <c r="K73" s="299"/>
      <c r="L73" s="300">
        <v>0</v>
      </c>
      <c r="M73" s="299">
        <v>300</v>
      </c>
      <c r="N73" s="299"/>
      <c r="O73" s="301" t="s">
        <v>32</v>
      </c>
    </row>
    <row r="74" spans="1:15" s="95" customFormat="1" ht="57.75" customHeight="1">
      <c r="A74" s="295">
        <v>2</v>
      </c>
      <c r="B74" s="336" t="s">
        <v>180</v>
      </c>
      <c r="C74" s="312" t="s">
        <v>211</v>
      </c>
      <c r="D74" s="337">
        <v>5000</v>
      </c>
      <c r="E74" s="307">
        <f>D74</f>
        <v>5000</v>
      </c>
      <c r="F74" s="308">
        <v>0</v>
      </c>
      <c r="G74" s="290">
        <f>D74-F74</f>
        <v>5000</v>
      </c>
      <c r="H74" s="388">
        <f>SUM(K74:N74)</f>
        <v>5000</v>
      </c>
      <c r="I74" s="291"/>
      <c r="J74" s="291"/>
      <c r="K74" s="290">
        <v>0</v>
      </c>
      <c r="L74" s="290"/>
      <c r="M74" s="308">
        <v>5000</v>
      </c>
      <c r="N74" s="290"/>
      <c r="O74" s="294" t="s">
        <v>32</v>
      </c>
    </row>
    <row r="75" spans="1:15" s="95" customFormat="1" ht="57.75" customHeight="1">
      <c r="A75" s="295">
        <v>3</v>
      </c>
      <c r="B75" s="306" t="s">
        <v>253</v>
      </c>
      <c r="C75" s="312" t="s">
        <v>211</v>
      </c>
      <c r="D75" s="307">
        <f>52+1200</f>
        <v>1252</v>
      </c>
      <c r="E75" s="293">
        <f>D75</f>
        <v>1252</v>
      </c>
      <c r="F75" s="308">
        <v>52</v>
      </c>
      <c r="G75" s="290">
        <f>D75-F75</f>
        <v>1200</v>
      </c>
      <c r="H75" s="388">
        <f>SUM(K75:N75)</f>
        <v>1200</v>
      </c>
      <c r="I75" s="291"/>
      <c r="J75" s="291"/>
      <c r="K75" s="290">
        <v>0</v>
      </c>
      <c r="L75" s="290"/>
      <c r="M75" s="308">
        <v>1200</v>
      </c>
      <c r="N75" s="290"/>
      <c r="O75" s="294" t="s">
        <v>32</v>
      </c>
    </row>
    <row r="76" spans="1:19" s="95" customFormat="1" ht="57.75" customHeight="1">
      <c r="A76" s="295">
        <v>4</v>
      </c>
      <c r="B76" s="306" t="s">
        <v>325</v>
      </c>
      <c r="C76" s="312" t="s">
        <v>211</v>
      </c>
      <c r="D76" s="307">
        <f>600-500</f>
        <v>100</v>
      </c>
      <c r="E76" s="293">
        <f>D76</f>
        <v>100</v>
      </c>
      <c r="F76" s="308">
        <v>0</v>
      </c>
      <c r="G76" s="290">
        <f>D76-F76</f>
        <v>100</v>
      </c>
      <c r="H76" s="388">
        <f>SUM(K76:N76)</f>
        <v>100</v>
      </c>
      <c r="I76" s="291"/>
      <c r="J76" s="291"/>
      <c r="K76" s="290">
        <v>0</v>
      </c>
      <c r="L76" s="290"/>
      <c r="M76" s="308">
        <f>600-500</f>
        <v>100</v>
      </c>
      <c r="N76" s="290"/>
      <c r="O76" s="294" t="s">
        <v>32</v>
      </c>
      <c r="S76" s="210"/>
    </row>
    <row r="77" spans="1:15" s="95" customFormat="1" ht="39" customHeight="1">
      <c r="A77" s="265"/>
      <c r="B77" s="12"/>
      <c r="C77" s="155" t="s">
        <v>18</v>
      </c>
      <c r="D77" s="123">
        <f>SUM(D73:D76)</f>
        <v>10864</v>
      </c>
      <c r="E77" s="123">
        <f aca="true" t="shared" si="12" ref="E77:N77">SUM(E73:E76)</f>
        <v>10864</v>
      </c>
      <c r="F77" s="123">
        <f t="shared" si="12"/>
        <v>4264</v>
      </c>
      <c r="G77" s="123">
        <f t="shared" si="12"/>
        <v>6600</v>
      </c>
      <c r="H77" s="396">
        <f t="shared" si="12"/>
        <v>6600</v>
      </c>
      <c r="I77" s="123">
        <f t="shared" si="12"/>
        <v>0</v>
      </c>
      <c r="J77" s="123">
        <f t="shared" si="12"/>
        <v>0</v>
      </c>
      <c r="K77" s="123">
        <f t="shared" si="12"/>
        <v>0</v>
      </c>
      <c r="L77" s="123">
        <f t="shared" si="12"/>
        <v>0</v>
      </c>
      <c r="M77" s="123">
        <f t="shared" si="12"/>
        <v>6600</v>
      </c>
      <c r="N77" s="123">
        <f t="shared" si="12"/>
        <v>0</v>
      </c>
      <c r="O77" s="143"/>
    </row>
    <row r="78" spans="1:15" s="95" customFormat="1" ht="19.5" customHeight="1">
      <c r="A78" s="398"/>
      <c r="B78" s="12"/>
      <c r="C78" s="116"/>
      <c r="D78" s="132"/>
      <c r="E78" s="132"/>
      <c r="F78" s="132"/>
      <c r="G78" s="132"/>
      <c r="H78" s="132"/>
      <c r="I78" s="132"/>
      <c r="J78" s="132"/>
      <c r="K78" s="132"/>
      <c r="L78" s="132"/>
      <c r="M78" s="132"/>
      <c r="N78" s="132"/>
      <c r="O78" s="143"/>
    </row>
    <row r="79" spans="1:15" s="95" customFormat="1" ht="19.5" customHeight="1">
      <c r="A79" s="412"/>
      <c r="B79" s="438"/>
      <c r="C79" s="439"/>
      <c r="D79" s="414"/>
      <c r="E79" s="440" t="s">
        <v>114</v>
      </c>
      <c r="F79" s="414"/>
      <c r="G79" s="414"/>
      <c r="H79" s="414"/>
      <c r="I79" s="414"/>
      <c r="J79" s="414"/>
      <c r="K79" s="414"/>
      <c r="L79" s="414"/>
      <c r="M79" s="414"/>
      <c r="N79" s="414"/>
      <c r="O79" s="450"/>
    </row>
    <row r="80" spans="1:15" s="95" customFormat="1" ht="16.5" customHeight="1">
      <c r="A80" s="412"/>
      <c r="B80" s="413" t="s">
        <v>152</v>
      </c>
      <c r="C80" s="420"/>
      <c r="D80" s="414"/>
      <c r="E80" s="420"/>
      <c r="F80" s="414"/>
      <c r="G80" s="414"/>
      <c r="H80" s="414"/>
      <c r="I80" s="414"/>
      <c r="J80" s="414"/>
      <c r="K80" s="441" t="s">
        <v>162</v>
      </c>
      <c r="L80" s="420"/>
      <c r="M80" s="414"/>
      <c r="N80" s="414"/>
      <c r="O80" s="450"/>
    </row>
    <row r="81" spans="1:15" s="95" customFormat="1" ht="16.5" customHeight="1">
      <c r="A81" s="418"/>
      <c r="B81" s="413" t="s">
        <v>153</v>
      </c>
      <c r="C81" s="420"/>
      <c r="D81" s="419"/>
      <c r="E81" s="415"/>
      <c r="F81" s="415"/>
      <c r="G81" s="423" t="s">
        <v>115</v>
      </c>
      <c r="H81" s="424"/>
      <c r="I81" s="420"/>
      <c r="J81" s="420"/>
      <c r="K81" s="419"/>
      <c r="L81" s="420" t="s">
        <v>109</v>
      </c>
      <c r="M81" s="419"/>
      <c r="N81" s="443"/>
      <c r="O81" s="450"/>
    </row>
    <row r="82" spans="1:15" ht="15">
      <c r="A82" s="422"/>
      <c r="B82" s="177"/>
      <c r="C82" s="415"/>
      <c r="D82" s="415"/>
      <c r="E82" s="419"/>
      <c r="F82" s="432"/>
      <c r="G82" s="423" t="s">
        <v>380</v>
      </c>
      <c r="H82" s="421"/>
      <c r="I82" s="420"/>
      <c r="J82" s="420"/>
      <c r="K82" s="415"/>
      <c r="L82" s="415"/>
      <c r="M82" s="415"/>
      <c r="N82" s="443"/>
      <c r="O82" s="420"/>
    </row>
    <row r="83" spans="1:16" s="163" customFormat="1" ht="15">
      <c r="A83" s="422"/>
      <c r="B83" s="425" t="s">
        <v>113</v>
      </c>
      <c r="C83" s="429"/>
      <c r="D83" s="177"/>
      <c r="E83" s="177"/>
      <c r="F83" s="415"/>
      <c r="G83" s="436" t="s">
        <v>378</v>
      </c>
      <c r="H83" s="429"/>
      <c r="I83" s="417"/>
      <c r="J83" s="420"/>
      <c r="K83" s="415"/>
      <c r="L83" s="421" t="s">
        <v>110</v>
      </c>
      <c r="M83" s="429"/>
      <c r="N83" s="443"/>
      <c r="O83" s="450"/>
      <c r="P83" s="95"/>
    </row>
    <row r="84" spans="1:16" s="163" customFormat="1" ht="13.5" customHeight="1">
      <c r="A84" s="426"/>
      <c r="B84" s="425" t="s">
        <v>118</v>
      </c>
      <c r="C84" s="429"/>
      <c r="D84" s="177"/>
      <c r="E84" s="427"/>
      <c r="F84" s="415"/>
      <c r="G84" s="415"/>
      <c r="H84" s="429"/>
      <c r="I84" s="429"/>
      <c r="J84" s="417"/>
      <c r="K84" s="417"/>
      <c r="L84" s="421" t="s">
        <v>111</v>
      </c>
      <c r="M84" s="429"/>
      <c r="N84" s="443"/>
      <c r="O84" s="451"/>
      <c r="P84" s="143"/>
    </row>
    <row r="85" spans="1:15" ht="15">
      <c r="A85" s="426"/>
      <c r="B85" s="421"/>
      <c r="C85" s="421"/>
      <c r="D85" s="430"/>
      <c r="E85" s="421"/>
      <c r="F85" s="429"/>
      <c r="G85" s="421"/>
      <c r="H85" s="430"/>
      <c r="I85" s="427"/>
      <c r="J85" s="415"/>
      <c r="K85" s="421"/>
      <c r="L85" s="429"/>
      <c r="M85" s="429"/>
      <c r="N85" s="429"/>
      <c r="O85" s="450"/>
    </row>
    <row r="86" spans="1:14" ht="13.5">
      <c r="A86" s="179"/>
      <c r="B86" s="179"/>
      <c r="C86" s="179"/>
      <c r="D86" s="179"/>
      <c r="E86" s="179"/>
      <c r="F86" s="15"/>
      <c r="G86" s="179"/>
      <c r="H86" s="179"/>
      <c r="I86" s="179"/>
      <c r="J86" s="179"/>
      <c r="K86" s="180"/>
      <c r="L86" s="31"/>
      <c r="M86" s="161"/>
      <c r="N86" s="33"/>
    </row>
    <row r="87" ht="13.5">
      <c r="J87" s="100"/>
    </row>
    <row r="88" spans="2:10" ht="13.5">
      <c r="B88" s="181"/>
      <c r="J88" s="100"/>
    </row>
    <row r="89" spans="4:14" ht="13.5">
      <c r="D89" s="15"/>
      <c r="E89" s="15"/>
      <c r="F89" s="15"/>
      <c r="G89" s="15"/>
      <c r="H89" s="100"/>
      <c r="I89" s="100"/>
      <c r="J89" s="100"/>
      <c r="K89" s="15"/>
      <c r="L89" s="15"/>
      <c r="M89" s="15"/>
      <c r="N89" s="15"/>
    </row>
    <row r="90" spans="4:14" ht="13.5">
      <c r="D90" s="15"/>
      <c r="E90" s="15"/>
      <c r="F90" s="15"/>
      <c r="G90" s="15"/>
      <c r="H90" s="100"/>
      <c r="I90" s="100"/>
      <c r="J90" s="100"/>
      <c r="K90" s="15"/>
      <c r="L90" s="15"/>
      <c r="M90" s="15"/>
      <c r="N90" s="15"/>
    </row>
    <row r="91" spans="1:14" ht="13.5">
      <c r="A91" s="15"/>
      <c r="B91" s="15"/>
      <c r="C91" s="15"/>
      <c r="D91" s="15"/>
      <c r="E91" s="15"/>
      <c r="F91" s="15"/>
      <c r="G91" s="15"/>
      <c r="H91" s="100"/>
      <c r="I91" s="100"/>
      <c r="J91" s="100"/>
      <c r="K91" s="15"/>
      <c r="L91" s="15"/>
      <c r="M91" s="15"/>
      <c r="N91" s="15"/>
    </row>
    <row r="92" ht="12.75">
      <c r="B92" s="181"/>
    </row>
  </sheetData>
  <sheetProtection/>
  <mergeCells count="1">
    <mergeCell ref="A7:N7"/>
  </mergeCells>
  <printOptions/>
  <pageMargins left="0.4330708661417323" right="0.35433070866141736" top="0.7874015748031497" bottom="0.7874015748031497" header="0.2362204724409449" footer="0.3937007874015748"/>
  <pageSetup horizontalDpi="600" verticalDpi="600" orientation="landscape" paperSize="9" r:id="rId2"/>
  <headerFooter alignWithMargins="0">
    <oddFooter xml:space="preserve">&amp;C&amp;8Pagina &amp;P din &amp;N&amp;R&amp;8(L1) HCL nr.  din
Alte cheltuieli asimilate investițiilor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Liliana Tiganila</cp:lastModifiedBy>
  <cp:lastPrinted>2023-01-03T10:53:36Z</cp:lastPrinted>
  <dcterms:created xsi:type="dcterms:W3CDTF">1996-10-14T23:33:28Z</dcterms:created>
  <dcterms:modified xsi:type="dcterms:W3CDTF">2023-01-03T15:05:15Z</dcterms:modified>
  <cp:category/>
  <cp:version/>
  <cp:contentType/>
  <cp:contentStatus/>
</cp:coreProperties>
</file>