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3740" tabRatio="790" activeTab="4"/>
  </bookViews>
  <sheets>
    <sheet name="Sheet2" sheetId="1" r:id="rId1"/>
    <sheet name="Lista 2022" sheetId="2" r:id="rId2"/>
    <sheet name="Studii si proiecte 2022" sheetId="3" r:id="rId3"/>
    <sheet name="Dotari 2022" sheetId="4" r:id="rId4"/>
    <sheet name="Alte chelt 2022" sheetId="5" r:id="rId5"/>
  </sheets>
  <definedNames>
    <definedName name="OLE_LINK1" localSheetId="2">'Studii si proiecte 2022'!#REF!</definedName>
    <definedName name="_xlnm.Print_Area" localSheetId="4">'Alte chelt 2022'!$A$1:$O$92</definedName>
    <definedName name="_xlnm.Print_Area" localSheetId="3">'Dotari 2022'!$A$1:$O$168</definedName>
    <definedName name="_xlnm.Print_Area" localSheetId="1">'Lista 2022'!$A$1:$N$555</definedName>
    <definedName name="_xlnm.Print_Area" localSheetId="2">'Studii si proiecte 2022'!$A$1:$O$227</definedName>
    <definedName name="_xlnm.Print_Titles" localSheetId="1">'Lista 2022'!$12:$17</definedName>
  </definedNames>
  <calcPr fullCalcOnLoad="1"/>
</workbook>
</file>

<file path=xl/comments4.xml><?xml version="1.0" encoding="utf-8"?>
<comments xmlns="http://schemas.openxmlformats.org/spreadsheetml/2006/main">
  <authors>
    <author>vdiaconu</author>
  </authors>
  <commentList>
    <comment ref="O53" authorId="0">
      <text>
        <r>
          <rPr>
            <b/>
            <sz val="9"/>
            <rFont val="Tahoma"/>
            <family val="2"/>
          </rPr>
          <t>vdiaconu:</t>
        </r>
        <r>
          <rPr>
            <sz val="9"/>
            <rFont val="Tahoma"/>
            <family val="2"/>
          </rPr>
          <t xml:space="preserve">
de adunat pe vertical</t>
        </r>
      </text>
    </comment>
  </commentList>
</comments>
</file>

<file path=xl/sharedStrings.xml><?xml version="1.0" encoding="utf-8"?>
<sst xmlns="http://schemas.openxmlformats.org/spreadsheetml/2006/main" count="1862" uniqueCount="560">
  <si>
    <t>”Strada Mareșal Al. Averescu - etapa 1”</t>
  </si>
  <si>
    <t>”Strada Veteranilor - etapa 1”</t>
  </si>
  <si>
    <t>”Strada Comandor Ctin ”Bibi” Costachescu - etapa 1”</t>
  </si>
  <si>
    <t>”Strada General Lt. Mociulschi - etapa 1”</t>
  </si>
  <si>
    <t>”Strada Lt. Col. Ion Jalea - etapa 1”</t>
  </si>
  <si>
    <t>“Elaborarea registrului local al spațiilor verzi din municipiul Constanța - realizare RLSV”</t>
  </si>
  <si>
    <t>”Lucrări de investiții și modernizare bd. Mamaia, sectorul cuprins între bd. Tomis și str. Soveja/Zorelelor, municipiul Constanța”</t>
  </si>
  <si>
    <t>cf. HCL nr. 68/26.03.2021</t>
  </si>
  <si>
    <t>”Achiziție adăposturi modulare pentru stații de autobuze”</t>
  </si>
  <si>
    <t xml:space="preserve">”Amenajare integrată a zonei cuprinsă între accesul către Plaja Modern, strada Lebedei și taluz - Crearea de facilități pentru evenimente culturale și pentru petrecerea timpului liber, zone de promenadă și parcaje - elaborare documentație tehnico-economică în fazele DALI, DTAA și documentații topo-cadastrale în vederea exproprierii” </t>
  </si>
  <si>
    <t>Direcția generală gestionare servicii publice</t>
  </si>
  <si>
    <t>”Reamenajarea spațiului public din zona Parcului Gării DALI, PT, DTAC,  inclusiv organizare de șantier și altele”</t>
  </si>
  <si>
    <t>Direcția Financiară</t>
  </si>
  <si>
    <t>”Ceasuri stradale”</t>
  </si>
  <si>
    <t>„Elaborare documentatie cadastrala a unor imobile situate in municipiul Constanta, aflate total/partial in administrarea R.A.-E.D.P.P. Constanta” - prin RAEDPP Constanța</t>
  </si>
  <si>
    <t>„Elaborare proiecte tehnice a imobilelor situate in municipiul Constanta, aflate total/partial in administrarea R.A.-E.D.P.P. Constanta, expertizate tehnic”  - prin RAEDPP Constanța</t>
  </si>
  <si>
    <t>„Expertizare tehnica a imobilelor situate in municipiul Constanta, aflate total/partial in administrarea R.A.-E.D.P.P. Constanta”  - prin RAEDPP Constanța</t>
  </si>
  <si>
    <t>„Reparatii ale imobilului Aleea Egretei nr.13” - proiect tehnic  - prin RAEDPP Constanța</t>
  </si>
  <si>
    <t>„Amenajare PARCARE CU FLORI – STEFANITA VODA” - studiu de fezabilitate  - prin RAEDPP Constanța</t>
  </si>
  <si>
    <t>”Echipamente de supraveghere video pentru locuri de joacă, terenuri de sport, puncte de acces spre plajă și podețe”</t>
  </si>
  <si>
    <t>”Sistem integrat de acces auto în zonele pietonale (Sat Vacanță, Parc Tăbăcărie, zona Peninsulară)”</t>
  </si>
  <si>
    <t>”Evaluare tehnică bolarzi”</t>
  </si>
  <si>
    <t>”Sisteme electronice de securitate”</t>
  </si>
  <si>
    <t>”Serviciul de proiectare sisteme electronice de securitate pentru obiectivele Primăriei municipiului Constanța”</t>
  </si>
  <si>
    <t xml:space="preserve">”Serviciul de elaborare Studiu de circulație la nivelul municipiului Constanța” </t>
  </si>
  <si>
    <t xml:space="preserve">”Reabilitare și modernizare fântâni arteziene” </t>
  </si>
  <si>
    <t xml:space="preserve">”Expertiză tehnică panouri cu ecran led” </t>
  </si>
  <si>
    <t>”Achizitia serviciilor de consultanta pentru pregătirea, organizarea și jurizarea concursului national/international de soluții pentru obiectivul construire parc DN3C din municipiul Constanta”</t>
  </si>
  <si>
    <t>”Elaborare documentații tehnico-economice, faza Studiu de fezabilitate privind obiectivul de investiții ”Amenajarea unei grădini publice în cartierul Tomis Nord zona Brotăcei - Tic Tac din municipiul Constanța”</t>
  </si>
  <si>
    <t xml:space="preserve">”Elaborare documentație tehnico-economică Studiu de Fezabilitate pentru ”Creare sistem de canalizare pluvială în cartierele Palazu Mare și Universitate” </t>
  </si>
  <si>
    <t xml:space="preserve">”Elaborare documentație tehnico-economică Studiu de Fezabilitate pentru ”Creare sistem de canalizare pluvială în cartierele Coiciu, Baba Novac și Compozitori” </t>
  </si>
  <si>
    <t>”Amenajare de locuri de joacă noi”</t>
  </si>
  <si>
    <t>”Amenajare spații dotate cu echipamente pentru exerciții fizice, inclusiv de tip calisthenics, în parcurile din municipiul Constanța”</t>
  </si>
  <si>
    <t>”Elaborare documentație tehnico-economică Studiu de Fezabilitate ”Bulevardul Madrid, zona Cartier Tomis Plus, precum și legătura cu arterele principale din zonă”</t>
  </si>
  <si>
    <t>”Elaborare documentație tehnico-economică (Studiu de Fezabilitate/DTAC) în vederea edificării de parcări publice supraetajate în municipiul Constanța”</t>
  </si>
  <si>
    <t>”Elaborare documentație tehnico-economică (Studiu de Fezabilitate/DTAC, DTAA) pentru ”Extindere Șoseaua Industrială și conectarea la DN39E/A4, din municipiul Constanța”</t>
  </si>
  <si>
    <t>”Elaborare documentație tehnico-economică (Studiu de Fezabilitate/DTAC, DTAA) pentru ”Creșterea accesibilității și fluidizarea traficului în vederea asigurării unei mobilități urbane durabile în perimetrul determinat de str. Baba Novac, str. Soveja, str. Ștefăniță Vodă și bd. Aurel Vlaicu”</t>
  </si>
  <si>
    <t>”Elaborare documentație tehnico-economică (Studiu de Fezabilitate/DTAC, DTAA) pentru ”Extinderea și amenajarea DC 89 (str/ Amsterdam) și DN3C tronsonul cuprins între Bd. Aurel Vlaicu și DC89”</t>
  </si>
  <si>
    <t xml:space="preserve">”Achiziționarea serviciului de întocmire planuri de situație de detaliu a unor imobile proprietatea publică a municipiului Constanța reprezentând cimitirele umane creștin-ortodoxe” </t>
  </si>
  <si>
    <t xml:space="preserve">”Reabilitare și extindere sistem de irigații în municipiul Constanța” </t>
  </si>
  <si>
    <t>”Elaborare documentații tehnico-economică (expertiză tehnică, SF, PT, DTAC, avize) pentru ”Amenajare parcuri urbane publice noi de mari dimensiuni în municipiul Constanța (unul de cca 40-50 ha și unul de cca 20 ha) în vederea extinderii suprafețelor de spații verzi din municipiul Constanța, protejarea și gestionarea durabilă a acestora, în scopul creșterii standardelor de viață ale constănțenilor și al conformării la obligația de a asigura suprafața minimă de spațiu verde/locuitor”</t>
  </si>
  <si>
    <t xml:space="preserve">”Elaborare documentație tehnico-economică (DALI, DTAC, PT, avize, altele) pentru desființare și construcție împrejmuire cimitire umane creștin-ortodoxe” </t>
  </si>
  <si>
    <t>”Achiziție insule ecologice pentru colectarea deșeurilor din municipiul Constanța”</t>
  </si>
  <si>
    <t>”Amenajare piață urbană Gara Constanța - prin amenajare Parcare acoperită Autobuze și Autocare cu stații de încărcare și peron călători, amenajare parcareautoturisme, amenajarea zonă acces, amenajare promenadă pietonală, reamenajare zonă pasaj pietonal subteran, amenajare pisagistică parțială Parc Gară, construire parcare Supraetajată și construire centru comercial de tip strip mall (DTAC, PT, DDE și asistență tehnică”</t>
  </si>
  <si>
    <t xml:space="preserve">”Amenajare piață urbană - zona Tomis III și construire parcare (SF, DALI, DTAC, PT și altele)” </t>
  </si>
  <si>
    <t xml:space="preserve">”Actualizare strategie salubrizare” </t>
  </si>
  <si>
    <t>”Amenajare zonă pietonală - Esplanada”</t>
  </si>
  <si>
    <t>”Elaborare documentații tehnoco-economică - faza Studiu de Fezabilitate privind amenajarea de zone verzi în municipiul Constanța și întocmirea documentațiilor topo cadastrale în vererea exproprierii”</t>
  </si>
  <si>
    <t>”Reamenajarea spațiului public din zona Parc Far - DALI, PT, DTAC, inclusiv organizare de șantier și altele”</t>
  </si>
  <si>
    <t>”Elaborare documentații tehnico-economică - faza Studiu de Fezabilitate/DALI - Iluminat Public”</t>
  </si>
  <si>
    <t>Achizitie elaborare ghid/regulament de interventie pentru reabilitatrea clădirilor din zonele protejate construite ale municipiului Constanța</t>
  </si>
  <si>
    <t>Elaborare documentatie tehnico-economica aferenta obiectivului de investitii "Cresterea eficientei energetice a imobilului Liceul Teoretic "Ovidius"Constanta" ( studii de teren, expertiza tehnica, audit energetic, DALI, PT, DTAC, avize, altele) - certificat de performanță energetică</t>
  </si>
  <si>
    <t>Direcția dezvoltare și fonduri europene</t>
  </si>
  <si>
    <t>Elaborare documentaţiei tehnico - economică aferentă obiectivului de investiţii "Reabilitare Şcoala Gimnazială nr.16 "Marin Ionescu Dobrogianu " (Studii de teren, Expertiză tehnică, Audit energetic, DALI, PT, DTAC, avize,altele) - certificat de performanță energetică</t>
  </si>
  <si>
    <t>HCL 147/25.04.2018, HCL 62/28.02.2020, HCL 431/2021</t>
  </si>
  <si>
    <t>”Panou temporar L3m x H2m "Creșterea eficienței energetice a imobilului Școala Gimnazială nr. 8, Constanța"</t>
  </si>
  <si>
    <t>Elaborare documentatie tehnico-economica aferenta obiectivului de investitii "Cresterea eficientei energetice a imobilului Scoala Gimnaziala nr. 8, Constanta" (studii de teren, expertiza tehnica, audit energetic, DALI, PT, DTAC, avize, altele)- certificat de performanță energetică</t>
  </si>
  <si>
    <t>Elaborare documentatie tehnico-economica aferenta obiectivului de investitii "Cresterea eficientei energetice a imobilului Scoala Gimnaziala nr. 17,Ion Minulescu, Constanta" (studii de teren, expertiza tehnica, audit energetic, DALI, PT, DTAC, avize, altele) - certificat de performanță energetică</t>
  </si>
  <si>
    <t xml:space="preserve">”Panou temporar 3m x 2m proiect "Reamenajarea integrata a zonei pietonale din centrul istoric al municipiului Constanța - etapa II" </t>
  </si>
  <si>
    <t xml:space="preserve">"Reamenajarea integrata a zonei pietonale din centrul istoric al municipiului Constanța - etapa II" </t>
  </si>
  <si>
    <t>HCL 462/2021</t>
  </si>
  <si>
    <t>Elaborare documentatie tehnico-economica aferenta obiectivului de investitii "Cresterea eficientei energetice a imobilului Scoala Gimnaziala nr. 38, Dimitrie Cantemir, Constanta" (studii de teren, expertiza tehnica, audit energetic, DALI, PT, DTAC, avize, altele)  - certificat de performanță energetică</t>
  </si>
  <si>
    <t>”Achiziție și montaj panouri fotovoltaice și sistem BMS aferent obiectivului "Cresterea eficientei energetice a imobilului Scoala Gimnaziala nr. 38, Dimitrie Cantemir, Constanta"</t>
  </si>
  <si>
    <t>Elaborare documentatie tehnico-economica aferenta obiectivului de investitii "Reabilitarea, modernizarea si dotarea Liceului Tehnologic Dimitrie Leonida, Constanta" ( studii de teren, expertiza tehnica, audit energetic, DALI, modificare DALI, PT, PAC, DDE, CS, avize, altele) - certificat de performanță energetică</t>
  </si>
  <si>
    <t>HCL 275/2019, HCL 18/2021, HCL 430/2021</t>
  </si>
  <si>
    <t>”Placă permanentă aferentă obiectivului ”Îmbunătățirea mobilității în municipiul Constanța, între Gară CFR și Stațiunea Mamaia”</t>
  </si>
  <si>
    <t>”Panou temporar 3m x 2m proiect ”Achiziție mijloace de transport public - autobuze electrice 10m șes, Alexandria, Brăila, Constanța, Dr. Tr. Severin, Focșani, Slobozia”</t>
  </si>
  <si>
    <t>”1 autobuz electric - proiect ”Achiziție mijloace de transport public - autobuze electrice 10m șes, Alexandria, Brăila, Constanța, Dr. Tr. Severin, Focșani, Slobozia”</t>
  </si>
  <si>
    <t>”Stații de reîncărcare electrică ”Achiziție mijloace de transport public - autobuze electrice 10m șes, Alexandria, Brăila, Constanța, Dr. Tr. Severin, Focșani, Slobozia”</t>
  </si>
  <si>
    <t>”Placă permanentă proiect ”Achiziție mijloace de transport public - autobuze electrice 12m șes, Alba Iulia, Buzău, Constanța, Ploiești”</t>
  </si>
  <si>
    <t>”Autobuze electrice - proiect ”Achiziție mijloace de transport public - autobuze electrice 12 m șes, Alba Iulia, Buzău, Constanța, Ploiești”</t>
  </si>
  <si>
    <t>”Stații de reîncărcare electrică proiect ”Achiziție mijloace de transport public - autobuze electrice 12 m șes, Alba Iulia, Buzău, Constanța, Ploiești”</t>
  </si>
  <si>
    <t>Elaborare documentatie tehnico-economica aferenta obiectivului de investitii "Reabililitarea, modernizarea și dotarea Gradinitței cu program prelungit Amicii Constanța" (studii de teren, expertiză tehnică, audit energetic, DALI, PAC, PT, avize, altele) - certificat de performanță energetică</t>
  </si>
  <si>
    <t>Elaborare documentatie tehnico-economica aferenta obiectivului de investitii ”Reabilitarea, modernizarea și dotarea Grădiniței cu program prelungit MUGUREL, Constanța” (studii de teren, expertiză tehnică, audit energetic, DALI, PAC, PT, avize, altele) - certificat de performanță energetică</t>
  </si>
  <si>
    <t>”Creșterea eficienței energetice a imobilului Liceul Teoretic Traian, Constanța”</t>
  </si>
  <si>
    <t>”Panou temporar L3m x H2m „Creșterea eficienței energetice a imobilului Liceul Teoretic Traian, Constanta”</t>
  </si>
  <si>
    <t>„Creșterea eficienței energetice a imobilului Liceul Teoretic Decebal, Constanta”</t>
  </si>
  <si>
    <t>HCL 106/2020</t>
  </si>
  <si>
    <t>”Panou temporar L3m x H2m „Creșterea eficienței energetice a imobilului Liceul Teoretic Decebal, Constanta”</t>
  </si>
  <si>
    <t xml:space="preserve">”Panou temporar L3m x H2m „Creșterea eficienței energetice a imobilului Spitalul Municipal, Constanta” </t>
  </si>
  <si>
    <t>„Creșterea eficienței energetice a imobilului Spitalul Municipal, Constanta”</t>
  </si>
  <si>
    <t>”Mobilier sală spectacole -  ”Developing Cultural and Creative Industries in the Black Sea Basin, acronim CREA - CENTERS”</t>
  </si>
  <si>
    <t>”Elaborare documentație tehnico-economică aferentă obiectivului de investiții ”Stații de reîncărcare pentru vehicule electrice în municipiul Constanța” (DTAC, PT, DE, POE, verificare proiect, avize, altele”</t>
  </si>
  <si>
    <t xml:space="preserve">”Stații de reîncărcare pentru vehicule electrice în municipiul Constanța” </t>
  </si>
  <si>
    <t>„Creșterea eficienței energetice a imobilului Colegiul Naţional Mircea cel Bătrân, Constanta”</t>
  </si>
  <si>
    <t xml:space="preserve">”Panou temporar L3m x H2m  „Creșterea eficienței energetice a imobilului Colegiul Naţional Mircea cel Bătrân, Constanta” </t>
  </si>
  <si>
    <t xml:space="preserve">"Realizare lucrări, modernizare și dotare în vederea obținerii autorizației de funcționare pentru Colegiul Comercial Carol I, str. Decebal nr. 15, municipiul Constanța" </t>
  </si>
  <si>
    <t>HCL 193/2020</t>
  </si>
  <si>
    <t>”Lucrări pentru racordarea la utilități și lucrări tehnico – edilitare ”Sală sport Polivalentă 5000 locuri – zona Badea Cârțan”, inclusiv proiectare</t>
  </si>
  <si>
    <t>HCL 148/2021</t>
  </si>
  <si>
    <t>”Execuție lucrări de amenajare teren aferente imobilului Cazino Constanța”</t>
  </si>
  <si>
    <t>HCL 36/2019</t>
  </si>
  <si>
    <t>”Elaborare documentație tehnico-economică (expretiză tehnică, studii de teren - geotehnic și topografic, studiu peisagistic, DALI, proiect tehnic pentru autorizarea lucrărilor, POE, PT și DE și altele, cerere de finanțare) aferentă obiectivului de investiții Îmbunătățirea mediului urban în zona Delfinariu - Faleză Nord”</t>
  </si>
  <si>
    <t>”Elaborare documentație tehnico-economică (temă de proiectare, studii de teren - geotehnic și topografic, stidiu de trafic, studiu peisagistic, expertiză tehnică, DALI, proiect tehnic pentru autorizarea lucrărilor, POE, PT și DE, altele, cerere de finanțare) aferentă obiectivului de investiții ”Îmbunătățirea mediului urban în zona Constanța Sud”</t>
  </si>
  <si>
    <t>Elaborare documentatie tehnico-economica ( audit energetic, studii de teren - geotehnic și topografic, expertiza tehnica, DALI, proiect tehnic pentru autorizarea lucrărilor, POE, PT și DE și altele, cerere de finanțare) aferentă obiectivului de investitii "Reabilitarea Liceului Tehnologic Dimitrie Leonida, Constanta - corp internat"</t>
  </si>
  <si>
    <t>”Elaborare studii de teren , avize altele, pentru construire ”Săli de sport școlare în municipiul Constanța”</t>
  </si>
  <si>
    <t>”Actualizare/elaborare documentație tehnico-economică aferentă obiectivului de investiții ”Restaurarea Muzeului de Artă Populară, Constanța” (studii de teren, expertiză tehnică, DALI, PT, DTAC, avize, altele)”</t>
  </si>
  <si>
    <t>”Elaborare documentație tehnico-economică aferentă obiectivului  (audit energetic, expertiză tehnică, studii de teren - geotehnic și topografic,  DALI, proiect tehnic pentru autorizarea lucrărilor, POE, PT și DE și altele) aferentă obiectivului de investiții ”Reabilitarea și dotarea Teatrului Național de Operă și Balet Oleg Danovski, Constanța””</t>
  </si>
  <si>
    <t>”Elaborare documentație tehnico-economică a obiectivului de investiții ”Bazin de înot didactic și de agrement Bulevardul Aurel Vlaicu nr. 254, Constanța (studii de teren, avize, altele)”</t>
  </si>
  <si>
    <t>”Elaborare documentație tehnico-economică a obiectivului de investiții ”Construire bază sportivă tip I - teren de fotbal cu 500 locuri, Bulevardul Aurel Vlaicu nr. 254, Constanța (studii de teren, avize, altele)”</t>
  </si>
  <si>
    <t>”Elaborarea documentației tehnico-economică (expertiză tehnică, studii de teren - geotehnic și topografic, studiu peisagistic, DALI, proiect tehnic pentru autorizarea lucrărilor, POE, PT și DE și altele, cerere de finanțare) aferent obiectivului de investiții ”Creșterea atractivității turistice a zonei de agremen Lacului și Parcului Tăbăcăriei”</t>
  </si>
  <si>
    <t>”Elaborare documentații tehnico-economice (SF/DALI, PT, DTAC, avize, altele) necesare accesării fondurilor în cadrul Programelor derulate de către Administrația Fondului de Mediu”</t>
  </si>
  <si>
    <t>”Elaborarea documentatiei tehnico economice (studii de teren, expertiza tehnica, audit energetic, DALI, PT, PAC, avize, altele)   aferenta proiectului Cresterea eficientei energetice a cladirilor rezidentiale din Municipiul Constanta – etapa I ”</t>
  </si>
  <si>
    <t>”Elaborarea documentatiei tehnico economice (studii de teren, expertiza tehnica, audit energetic, DALI, PT, PAC, avize, altele)   aferenta proiectului Cresterea eficientei energetice a cladirilor rezidentiale din Municipiul Constanta – etapa II”</t>
  </si>
  <si>
    <t>”Elaborarea documentatiei tehnico economice (studii de teren, expertiza tehnica, audit energetic, DALI, PT, PAC, avize, altele)   aferenta proiectului Cresterea eficientei energetice a cladirilor rezidentiale din Municipiul Constanta – etapa III”</t>
  </si>
  <si>
    <t>”Actualizare/ Elaborare documentatie tehnico - economica  aferenta obiectivului de investitii "Imbunatatirea mobilitatii in municipiul Constanta, intre Delfinariu si B-dul Aurel Vlaicu" (studii de teren, expertiza tehnica, studiu de trafic, DALI, PT, PAC, avize, altele)”</t>
  </si>
  <si>
    <t>”Diverse echipamente de rețea și stocaj ”</t>
  </si>
  <si>
    <t>”Realizare rețea de cablare structurată”</t>
  </si>
  <si>
    <t>”Reabilitarea rețelelor termice primare/transport a energiei termice din municipiul Constanța - etapa II (execuție lucrări, inclusiv serviciul de proiectare)”</t>
  </si>
  <si>
    <t>”Reabilitarea rețelelor termice primare/transport a energiei termice din municipiul Constanța - etapa I (execuție lucrări, inclusiv serviciul de proiectare)”</t>
  </si>
  <si>
    <t xml:space="preserve">”Elaborare documentație tehnico-economică (SF, PT, Proiect pentru autorizarea/ desființarea executării lucrărilor DDE), execuție și montare Parcări supraterane” </t>
  </si>
  <si>
    <t>HCL 364/2019</t>
  </si>
  <si>
    <t>HCL 404/2020</t>
  </si>
  <si>
    <t>”Elaborare documentație tehnico-economică a obiectivului de investiții ”Demolarea construcțiilor existente pe amplasamentul ”Complexului Stadion Gheorghe Hagi, Constanța (proiectare, altele)”</t>
  </si>
  <si>
    <t xml:space="preserve">”Construire locuințe sociale, zona industrială Palas, Constanța” </t>
  </si>
  <si>
    <t>”Execuție branșament electric pentru obiectivul ”Scenă evenimente culturale - parcare Poarta 1, inclusiv amplasare punct de conexiune și post de transformare”</t>
  </si>
  <si>
    <t>HCL 454/26.11.2021</t>
  </si>
  <si>
    <t>„Reconfigurare, modernizare și încadrarea într-un nou concept urban pentru municipiul Constanța al Pieței Agroalimentare Grivița” prin RAEDPP</t>
  </si>
  <si>
    <t>„Lucrări de elicopterizare a zonei de skatepark din Gravity Park” prin RAEDPP</t>
  </si>
  <si>
    <t>„Reamenajare și modernizare Piața Agroalimentară Brotăcei” prin RAEDPP</t>
  </si>
  <si>
    <t>„Reamenajare și modernizare Piață Agroalimentară I.L. Caragiale” prin RAEDPP</t>
  </si>
  <si>
    <t>HCL nr.80/30.04.2015, HCL nr.47/23.02.2016, HCL nr.33/31.01.2017,  HCL nr. 425/28.12.2017; HCL nr.141/25.04.2018, HCL 16/2021, HCL 427/2021</t>
  </si>
  <si>
    <t>HCL nr. 279/31.07.2018, HCL nr. 247/2019, HCL 372/2021</t>
  </si>
  <si>
    <t>HCL nr. 391/2017, HCL 241/2019, HCL 235/2020, HCL 236/2020, HCL 369/2021</t>
  </si>
  <si>
    <t>HCL nr. 392/2017, HCL 243/2019, HCL 238/2020, HCL 239/2020, HCL 370/2021</t>
  </si>
  <si>
    <t>HCL nr. 393/2017, HCL 246/2019, HCL 241/2020, HCL 242/2020, HCL 426/2021</t>
  </si>
  <si>
    <t>HCL nr. 107/2020</t>
  </si>
  <si>
    <t>”Proiect tehnic pentru instalare punct trafo medie tensiune/joasa tensiune pentru spitalul modular obtinerea avizului de racordare”, pentru Spitalul Clinic de Boli Infecțioase Constanța</t>
  </si>
  <si>
    <t>”Proiect pentru lucrari de reparatii ale terasei si rampei exterioare de acces spre compartimentul de terapie intensiva”, pentru Spitalul Clinic de Boli Infecțioase Constanța</t>
  </si>
  <si>
    <t>”Lucrari de reparatii ale terasei si rampei exterioare de acces spre compartimentul de terapie intensiva”, pentru Spitalul Clinic de Boli Infecțioase Constanța</t>
  </si>
  <si>
    <t>”Proiect pentru lucrări de reparații acoperiș și sistem de colectare a apei pluviale clădire spital - bd. Ferdinand nr.100”, pentru Spitalul Clinic de Boli Infecțioase Constanța</t>
  </si>
  <si>
    <t>”Lucrări de reparații acoperiș și sistem de colectare a apei pluviale clădire spital - bd. Ferdinand nr.100”, pentru Spitalul Clinic de Boli Infecțioase Constanța</t>
  </si>
  <si>
    <t>”Proiectare lucrare sistem sistem INEL de hidranți exteriori”, pentru Spitalul Clinic de Boli Infecțioase Constanța</t>
  </si>
  <si>
    <t>”Lucrare sistem sistem INEL de hidranți exteriori”, pentru Spitalul Clinic de Boli Infecțioase Constanța</t>
  </si>
  <si>
    <t>”Lucrări pentru realizarea hidroizolației fundație clădire Spital Clinic de Boli Infecțioase (Constanța, bd. Ferdinand nr.100)”</t>
  </si>
  <si>
    <t>”Proiect tehnic pentru realizarea hidroizolației fundație clădire Spital Clinic de Boli Infecțioase (Constanța, bd. Ferdinand nr.100)”</t>
  </si>
  <si>
    <t>”Lucrări de reparații și consolidare la anatomie patologică” - pentru Spitalul Clinic de Boli Infesțioase Constanța”</t>
  </si>
  <si>
    <t>”Proiect pentru lucrări de reparații și consolidare la anatomie patologică” - pentru Spitalul Clinic de Boli Infesțioase Constanța”</t>
  </si>
  <si>
    <t>”Cofinanțare 10% conform legii 95/2006 pentru echipamentele medicale solicitate la Ministerul Sănătății”</t>
  </si>
  <si>
    <t>”Instalare punct tafo medie tensiune/joasa tensiune pentru spitalul modular” - pentru Spitalul Clinic de Boli Infecțioase Constanța</t>
  </si>
  <si>
    <t xml:space="preserve">”Actualizare/elaborare documentaţiei tehnico - economică aferentă obiectivului de investiţii "Reabilitare clădire Colegiul Naţional Mihai Eminescu" (studii de teren, expertiză tehnică, DALI, PT, DTAC, avize, altele) </t>
  </si>
  <si>
    <t>”Corturi utilitare gonflabile pentru situații de urgență”</t>
  </si>
  <si>
    <t>Șef Birou</t>
  </si>
  <si>
    <t>Director Executiv</t>
  </si>
  <si>
    <t>Georgeta GHEORGHE</t>
  </si>
  <si>
    <t xml:space="preserve">”Creare spital modular pentru consolidarea capacității medicale a Spitalului Clinic de Boli Infecțioase Constanța, în contextul COVID-19 (documentatii conform HG 907/2016)” </t>
  </si>
  <si>
    <t>HCL  108/2020</t>
  </si>
  <si>
    <t>”Copiator alb negru și color (Cămin pentru persoane vârstnice)”</t>
  </si>
  <si>
    <t>”Laptop (Cămin pentru persoane vârstnice)”</t>
  </si>
  <si>
    <t xml:space="preserve">”Proiectare și execuție capete de linii CT BUS” </t>
  </si>
  <si>
    <t>”Senzori” - pentru Spitalul Clinic de Boli Infecțioase Constanța</t>
  </si>
  <si>
    <r>
      <t xml:space="preserve">Cota de cofinanțare aferentă municipiului Constanța </t>
    </r>
    <r>
      <rPr>
        <sz val="11"/>
        <rFont val="Times New Roman CE"/>
        <family val="0"/>
      </rPr>
      <t>pentru obiectivul ”Proiectul regional de dezvoltare a infrastructurii de apă și apă uzată în aria de operare a SC RAJA SA Constanta în perioada 2014 - 2020”</t>
    </r>
  </si>
  <si>
    <t>*studii şi proiecte</t>
  </si>
  <si>
    <t>Denumirea obiectivului</t>
  </si>
  <si>
    <t>Valoarea</t>
  </si>
  <si>
    <t xml:space="preserve">Valoarea </t>
  </si>
  <si>
    <t xml:space="preserve">Total </t>
  </si>
  <si>
    <t xml:space="preserve">Rest de </t>
  </si>
  <si>
    <t>Nr.</t>
  </si>
  <si>
    <t>Data începerii execuţiei (luna, anul)</t>
  </si>
  <si>
    <t xml:space="preserve"> totală </t>
  </si>
  <si>
    <t xml:space="preserve">totală </t>
  </si>
  <si>
    <t>realizări la</t>
  </si>
  <si>
    <t>Surse</t>
  </si>
  <si>
    <t>Buget</t>
  </si>
  <si>
    <t>crt.</t>
  </si>
  <si>
    <t>Nr. si data aprobării</t>
  </si>
  <si>
    <t xml:space="preserve"> iniţială</t>
  </si>
  <si>
    <t xml:space="preserve">actualizată </t>
  </si>
  <si>
    <t>local</t>
  </si>
  <si>
    <t xml:space="preserve">A </t>
  </si>
  <si>
    <t xml:space="preserve">Obiective de investiţii  </t>
  </si>
  <si>
    <t>în continuare</t>
  </si>
  <si>
    <t>B</t>
  </si>
  <si>
    <t>noi</t>
  </si>
  <si>
    <t>C</t>
  </si>
  <si>
    <t xml:space="preserve"> de investiţii </t>
  </si>
  <si>
    <t>C A P I T O L U L   51</t>
  </si>
  <si>
    <t>Total, din care:</t>
  </si>
  <si>
    <t xml:space="preserve">Obiective de investiţii </t>
  </si>
  <si>
    <t xml:space="preserve">Dotări si alte cheltuieli </t>
  </si>
  <si>
    <t>de investiţii</t>
  </si>
  <si>
    <t xml:space="preserve">Total,  din care: </t>
  </si>
  <si>
    <t xml:space="preserve">Dotări şi alte cheltuieli </t>
  </si>
  <si>
    <t xml:space="preserve">de investiţii </t>
  </si>
  <si>
    <t>mii lei</t>
  </si>
  <si>
    <t>Nr. crt.</t>
  </si>
  <si>
    <t>TOTAL</t>
  </si>
  <si>
    <t>Denumirea proiectului</t>
  </si>
  <si>
    <t>de la bug</t>
  </si>
  <si>
    <t xml:space="preserve"> de stat</t>
  </si>
  <si>
    <t xml:space="preserve"> </t>
  </si>
  <si>
    <t>Buget local</t>
  </si>
  <si>
    <t>Avizat,</t>
  </si>
  <si>
    <t>Se aprobă,</t>
  </si>
  <si>
    <t xml:space="preserve">Fond </t>
  </si>
  <si>
    <t>finanţate din:</t>
  </si>
  <si>
    <t>*dotări independente</t>
  </si>
  <si>
    <t>C A P I T O L U L  70</t>
  </si>
  <si>
    <t>LOCUINŢE, SERVICII ŞI DEZVOLTARE PUBLICĂ</t>
  </si>
  <si>
    <t>CAP. 70   LOCUINŢE, SERVICII ŞI DEZVOLTARE PUBLICĂ</t>
  </si>
  <si>
    <t>CAP.70   LOCUINŢE, SERVICII ŞI DEZVOLTARE PUBLICĂ</t>
  </si>
  <si>
    <t>01.02</t>
  </si>
  <si>
    <t>01.30</t>
  </si>
  <si>
    <t>Buget stat</t>
  </si>
  <si>
    <t>01.01</t>
  </si>
  <si>
    <t>total din care:</t>
  </si>
  <si>
    <t>DDFE</t>
  </si>
  <si>
    <t>Construcţii</t>
  </si>
  <si>
    <t>01.01.</t>
  </si>
  <si>
    <t>Maşini, echipamente si mijloace de transport</t>
  </si>
  <si>
    <t>01.02.</t>
  </si>
  <si>
    <t>Mobilier, aparatură birotică şi alte active corporale</t>
  </si>
  <si>
    <t>01.03.</t>
  </si>
  <si>
    <t>01.30.</t>
  </si>
  <si>
    <t xml:space="preserve">INV / C+M - mii lei </t>
  </si>
  <si>
    <t>mediu</t>
  </si>
  <si>
    <t xml:space="preserve">cf.OG </t>
  </si>
  <si>
    <t>(SOFTWARE)</t>
  </si>
  <si>
    <t>Alte active fixe (inclusiv reparatii capitale)</t>
  </si>
  <si>
    <t xml:space="preserve">Valoarea totală actualizată </t>
  </si>
  <si>
    <t>Fond mediu</t>
  </si>
  <si>
    <t>Surse cf.OG 19/94</t>
  </si>
  <si>
    <t>Solicitare / Responsabil</t>
  </si>
  <si>
    <t>TOTAL GENERAL, din care:</t>
  </si>
  <si>
    <t>72.01.01</t>
  </si>
  <si>
    <t xml:space="preserve">Aport capital                                                        </t>
  </si>
  <si>
    <t xml:space="preserve">ANEXA 3 </t>
  </si>
  <si>
    <t>Proiecte</t>
  </si>
  <si>
    <t>FEN</t>
  </si>
  <si>
    <t>19/94</t>
  </si>
  <si>
    <t>Transf</t>
  </si>
  <si>
    <t>A</t>
  </si>
  <si>
    <t xml:space="preserve">         CAP. 51   AUTORITĂŢI  PUBLICE ŞI ACȚIUNI EXTERNE</t>
  </si>
  <si>
    <t>01.03</t>
  </si>
  <si>
    <t>C A P I T O L U L  61</t>
  </si>
  <si>
    <t>ORDINE PUBLICĂ ŞI SIGURANŢĂ NAŢIONALĂ</t>
  </si>
  <si>
    <t xml:space="preserve">CAP.68   ASIGURĂRI ŞI ASISTENŢĂ   SOCIALĂ    </t>
  </si>
  <si>
    <t>CAP. 74  PROTECŢIA MEDIULUI</t>
  </si>
  <si>
    <t>PROTECŢIA MEDIULUI</t>
  </si>
  <si>
    <t>C A P I T O L U L  67</t>
  </si>
  <si>
    <t>CULTURA, RECREERE SI RELIGIE</t>
  </si>
  <si>
    <t>C A P I T O L U L  65</t>
  </si>
  <si>
    <t>INVATAMANT</t>
  </si>
  <si>
    <t xml:space="preserve">              </t>
  </si>
  <si>
    <t>TRANSPORTURI</t>
  </si>
  <si>
    <t>C A P I T O L U L  68</t>
  </si>
  <si>
    <t xml:space="preserve">ASIGURĂRI ŞI ASISTENŢĂ   SOCIALĂ    </t>
  </si>
  <si>
    <t>ANEXA 3</t>
  </si>
  <si>
    <t>C A P I T O L U L  84</t>
  </si>
  <si>
    <t>Total</t>
  </si>
  <si>
    <t>C A P I T O L U L  74</t>
  </si>
  <si>
    <t>CAP. 84  TRANSPORTURI</t>
  </si>
  <si>
    <t>2014-2020</t>
  </si>
  <si>
    <t>Proiecte FEN 2014-2020</t>
  </si>
  <si>
    <r>
      <t xml:space="preserve">                  </t>
    </r>
    <r>
      <rPr>
        <b/>
        <u val="single"/>
        <sz val="10.5"/>
        <rFont val="Times New Roman CE"/>
        <family val="0"/>
      </rPr>
      <t>C A P I T O L U L  6</t>
    </r>
    <r>
      <rPr>
        <b/>
        <sz val="10.5"/>
        <rFont val="Times New Roman CE"/>
        <family val="0"/>
      </rPr>
      <t>6</t>
    </r>
  </si>
  <si>
    <t>SĂNĂTATE</t>
  </si>
  <si>
    <t>PRIMAR</t>
  </si>
  <si>
    <t>Elaborare documentatie tehnico - economica : "Imbunatatirea mobilitatii in municipiul Constanta,zona Bd. 1 Mai  - Soseaua Mangaliei" (studii de teren, expertiza tehnica, DALI, PT, DTAC, avize, altele)</t>
  </si>
  <si>
    <t>DGSP</t>
  </si>
  <si>
    <t>(col. 7 - 13)</t>
  </si>
  <si>
    <t>CAP.66 SANATATE</t>
  </si>
  <si>
    <t>* alte cheltuieli asimilate</t>
  </si>
  <si>
    <t xml:space="preserve"> CAP.61 ORDINE PUBLICĂ ŞI SIGURANŢĂ NAŢIONALĂ </t>
  </si>
  <si>
    <t>AUTORITĂŢI  PUBLICE ŞI ACȚIUNI EXTERNE</t>
  </si>
  <si>
    <t>Construcții-Montaj</t>
  </si>
  <si>
    <t>Dotări și alte cheltuieli</t>
  </si>
  <si>
    <t>*dotări</t>
  </si>
  <si>
    <t>* dotări</t>
  </si>
  <si>
    <t>*alte cheltuieli asimilate investițiilor</t>
  </si>
  <si>
    <t>*Alte cheltuieli asimilate investițiilor</t>
  </si>
  <si>
    <t>*studii și proiecte</t>
  </si>
  <si>
    <t>CAP. 51   AUTORITĂŢI  PUBLICE ŞI ACȚIUNI EXTERNE</t>
  </si>
  <si>
    <t>CAP.65   ÎNVĂȚĂMÂNT</t>
  </si>
  <si>
    <t>CAP.67  CULTURĂ, RECREERE ȘI RELIGIE</t>
  </si>
  <si>
    <t>CAP.  66 - SĂNĂTATE</t>
  </si>
  <si>
    <t xml:space="preserve">Dotări și alte cheltuieli </t>
  </si>
  <si>
    <t>CAP. 66 SĂNĂTATE</t>
  </si>
  <si>
    <t xml:space="preserve">Rest de executat </t>
  </si>
  <si>
    <t>01,03</t>
  </si>
  <si>
    <t xml:space="preserve">                       ROMÂNIA</t>
  </si>
  <si>
    <t>”PUZ Atelierelor”</t>
  </si>
  <si>
    <t>C A P I T O L U L  80</t>
  </si>
  <si>
    <t>ACȚIUNI GENERALE ECONOMICE, COMERCIALE ȘI DE MUNCĂ</t>
  </si>
  <si>
    <t>CAP. 80  ACȚIUNI GENERALE ECONOMICE, COMERCIALE ȘI DE MUNCĂ</t>
  </si>
  <si>
    <t xml:space="preserve"> CAP. 80  ACȚIUNI GENERALE ECONOMICE, COMERCIALE ȘI DE MUNCĂ</t>
  </si>
  <si>
    <t xml:space="preserve">                       JUDEȚUL CONSTANȚA</t>
  </si>
  <si>
    <t xml:space="preserve">                       CONSILIUL LOCAL</t>
  </si>
  <si>
    <t xml:space="preserve">                       MUNICIPIUL CONSTANȚA</t>
  </si>
  <si>
    <t>RAEDPP</t>
  </si>
  <si>
    <t xml:space="preserve">   CAP.68   ASIGURĂRI ŞI ASISTENŢĂ   SOCIALĂ    </t>
  </si>
  <si>
    <t xml:space="preserve"> CAP. 81  COMBUSTIBILI ȘI ENERGIE</t>
  </si>
  <si>
    <t>C A P I T O L U L  81</t>
  </si>
  <si>
    <t>COMBUSTIBILI ȘI ENERGIE</t>
  </si>
  <si>
    <t>HCL 168/30.05.2016, HCL 273/31.07.2019</t>
  </si>
  <si>
    <t>Spitalul Clinic de Boli Infecțioase Constanța</t>
  </si>
  <si>
    <t>Marian FILIP</t>
  </si>
  <si>
    <t>Inspector,</t>
  </si>
  <si>
    <t>Denisa Maria ION</t>
  </si>
  <si>
    <t>”Creșterea eficienței energetice a imobilului Școala Gimnazială nr. 38, Dimitrie Cantemir, Constanța”</t>
  </si>
  <si>
    <t>”Îmbunătățirea mobilității în municipiul Constanța, între gara CFR și stațiunea Mamaia”</t>
  </si>
  <si>
    <r>
      <t xml:space="preserve">                      </t>
    </r>
    <r>
      <rPr>
        <b/>
        <sz val="10.5"/>
        <rFont val="Times New Roman CE"/>
        <family val="0"/>
      </rPr>
      <t xml:space="preserve">                                                                            CAP.61 ORDINE PUBLICĂ ŞI SIGURANŢĂ NAŢIONALĂ</t>
    </r>
    <r>
      <rPr>
        <sz val="10.5"/>
        <rFont val="Times New Roman CE"/>
        <family val="0"/>
      </rPr>
      <t xml:space="preserve">  </t>
    </r>
  </si>
  <si>
    <t>ORDONATOR PRINCIPAL DE CREDITE,</t>
  </si>
  <si>
    <t>PREȘEDINTE ȘEDINȚĂ,</t>
  </si>
  <si>
    <t>”Acces și mobilitate pietonală în zona centrală a municipiului Constanța” - COD MY SMIS 129226</t>
  </si>
  <si>
    <t>CONTRASEMNEAZĂ</t>
  </si>
  <si>
    <t>”Îmbunătățirea mobilității în municipiul Constanța, zona bd. 1 Mai - Șoseaua Mangaliei” COD MYSMIS 129226</t>
  </si>
  <si>
    <t>”Creșterea eficienței energetice a imobilului Școala Gimnazială nr. 17, Ion Minulescu, Constanța”</t>
  </si>
  <si>
    <t>Elaborare documentație tehnico-economică aferentă obiectivului de investiții „Creșterea eficienței energetice a imobilului Liceul Teoretic Decebal, Constanta” (PT, DTAC,avize, DTOE, DDE, CS , asistență tehnică din partea proiectantului, altele)</t>
  </si>
  <si>
    <t>Elaborare documentație tehnico-economică aferentă obiectivului de investiții „Creșterea eficienței energetice a imobilului Colegiul Naţional Mircea cel Bătrân, Constanta” (PT, DTAC,  avize, DTOE, DDE, CS , asistenţă tehnică din partea proiectantului, altele)</t>
  </si>
  <si>
    <t>Elaborare documentație tehnico-economică aferentă obiectivului de investiții „Creșterea eficienței energetice a imobilului Spitalul Municipal, Constanta” (PT, DTAC,  avize, DTOE, DDE, CS , asistenţă tehnică din partea proiectantului, altele)</t>
  </si>
  <si>
    <t xml:space="preserve"> Elaborare documentație tehnico-economică aferentă obiectivului de investiții „Creșterea eficienței energetice a imobilului Liceul Teoretic Traian, Constanta” (PT, DTAC,  avize, DTOE, DDE, CS, asistenţă tehnică din partea proiectantului, altele)</t>
  </si>
  <si>
    <t>Vergil CHIȚAC</t>
  </si>
  <si>
    <t>VERGIL CHIȚAC</t>
  </si>
  <si>
    <t>31.12.2021</t>
  </si>
  <si>
    <t xml:space="preserve"> Programul de dezvoltare edilitara a municipiului Constanta - zona Faleza Nord</t>
  </si>
  <si>
    <t>”PUZ - Spital regional”</t>
  </si>
  <si>
    <t>”PUZ - Delavrancea”</t>
  </si>
  <si>
    <t>”PUZ - Regenerare urbană zona BALADA”</t>
  </si>
  <si>
    <t>”PUZ - Actualizare documentație de urbanism zona COMPOZITORI”</t>
  </si>
  <si>
    <t>”PUZ - Regenerare și revitalizare urbană zona DN3C”</t>
  </si>
  <si>
    <t>”Sistem audio video pentru îmbunătățirea calității și transparența relației cetățean - polițist local”</t>
  </si>
  <si>
    <t>”Realizare sistem informatic și portal gestiune documente” - Proiect SMART CT</t>
  </si>
  <si>
    <t>”Pachet licențe sistem informatic portal și gestiune electronică a documentelor” - Proiect SMART CT</t>
  </si>
  <si>
    <t>”Pachete cu semnături electronice”</t>
  </si>
  <si>
    <t>01,01</t>
  </si>
  <si>
    <t>”Reabilitarea, modernizarea și dotarea Liceului Tehnologic Dimitrie Leonida, Constanța”</t>
  </si>
  <si>
    <t>”Creșterea eficienței energetice a imobilului Teatrul de Stat, Constanta” cod SMIS 124052</t>
  </si>
  <si>
    <t>”Incubator de afaceri Constanța”</t>
  </si>
  <si>
    <t>”Creșterea eficienței energetice a imobilului Școala Gimnazială nr. 8, Constanța”</t>
  </si>
  <si>
    <t>”Reabilitarea, modernizarea și dotarea Liceului Tehnologic de Electrotehnică și Telecomunicații, Constanța”</t>
  </si>
  <si>
    <t>”Panou temporar L3m x H2m "Reabilitarea, modernizarea si dotarea Liceului Tehnologic de Electrotehnica si Telecomunicatii, Constanta"</t>
  </si>
  <si>
    <t>Elaborare documentație tehnico-economică aferentă obiectivului de investiții "Reabilitare Școala gimnazială nr.7  Remus Opreanu, Constanța" (studii de teren, expertiza tehnica, audit energetic, DALI, PT, DTAC, avize, altele)</t>
  </si>
  <si>
    <t>“Execuția branșamentelor de energie electrică necesare alimentării stațiilor de reîncărcare aferente proiectelor ”Achiziția de mijloace de transport public – autobuze electrice cu lungimea de 12 ml” și ” Achiziția de mijloace de transport public – autobuze electrice cu lungimea de 10 ml” locații: strada Cișmelei cap de linie CT BUS, strada Theodor Burada/Gării cap de linie CT BUS și strada Industrială garaj CT BUS (SF, DTAC, PT, DE, POE, verificare proiect, asistență tehnică a execuției instalațiilor de utilizare - coloane electrice alimentare, punctelor de conexiune și montare a stațiilor de reîncărcare, altele)”</t>
  </si>
  <si>
    <t>”Execuție branșament electric aferent imobilului Cazino Constanța”</t>
  </si>
  <si>
    <t>”Execuție rețele alimentare cu apă, canalizare menajeră și pluvială, aferente imobilului Cazino Constanța”</t>
  </si>
  <si>
    <t>”Actualizare/elaborare documentație tehnico-economică (expretiză tehnică, DALI, proiect tehnic pentru autorizarea lucrărilor, POE, PT și DE și altele, cerere de finanțare) aferentă obiectivului de investiții Îmbunătățirea mediului urban în zona Coiciu - Casa de Cultură”</t>
  </si>
  <si>
    <t>”Elaborare documentație tehnico-economică (expretiză tehnică, studii de teren - geotehnic și topografic, studiu de trafic, studiu peisagistic, DALI, proiect tehnic pentru autorizarea lucrărilor, POE, PT și DE, altele, cerere de finanțare) aferentă obiectivului de investiții ”Îmbunătățirea mobilității în municipiul Constanța, zona Bulevardul Mamaia”</t>
  </si>
  <si>
    <t>”Actualizare/elaborare documentație tehnico-economică (expretiză tehnică, DALI, proiect tehnic pentru autorizarea lucrărilor, POE, PT și DE și altele, cerere de finanțare) aferentă obiectivului de investiții ”Îmbunătățirea mediului urban în zona Tomis Nord - Henri Coandă”</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</si>
  <si>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43, Constanța”</t>
  </si>
  <si>
    <t>Actualizare/Elaborare documentație tehnico-econimică (audit energetic, expertiză tehnică, DALI, proiect tehnic pentru autorizarea lucrărilor, POE, PT și DE  și altele, cerere de finanțare) aferentă obiectivului de investiții ”Reabilitarea, modernizarea și dotarea Liceului tehnologic de electrotehnică și telecomunicații - Corp cantină și internat”</t>
  </si>
  <si>
    <t>”Elaborare documentație tehnico-economică (expretiză tehnică, studii de teren - geotehnic și topografic, studiu de trafic, DALI, proiect tehnic pentru autorizarea lucrărilor, POE, PT și DE, altele, cerere de finanțare) aferentă obiectivului de investiții ”Îmbunătățirea mobilității în municipiul Constanța, B-dul I. C. Brătianu”</t>
  </si>
  <si>
    <t>”Elaborare documentație tehnico-economică (expretiză tehnică, studii de teren - geotehnic și topografic, studiu de trafic, DALI, proiect tehnic pentru autorizarea lucrărilor, POE, PT și DE, altele, cerere de finanțare) aferentă obiectivului de investiții ”Îmbunătățirea mobilității în municipiul Constanța, B-dul Tomis”</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</si>
  <si>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14, Palazu Mare Constanța”</t>
  </si>
  <si>
    <t>”Achiziția serviciului de consultanță pentru elaborarea caietului de sarcini și a documentației de atribuire, aferente proiectului ”Reabilitarea rețelelor termice primare/transport a energiei termice din municipiul Constanța etapa I și II”</t>
  </si>
  <si>
    <t>”Camere supraveghere cu sistem fotovoltaic”</t>
  </si>
  <si>
    <t>”Reabilitare  și modernizare Bază de supraveghere a animalelor fără stapân” (studii de teren - studiu topografic, studiu geotehnic, SF de obiectiv mixt, PAC, PT, DDE, CS, documentații pentru obținerea avizelor/acordurilor și execuție lucrări)”</t>
  </si>
  <si>
    <t>”Reabilitarea, modernizarea și dotarea Grădiniței cu program prelungit ”AMICII”, Constanța”</t>
  </si>
  <si>
    <t>”Reabilitare Școala Gimnazială nr. 16 Marin Ionescu Dobrogianu, Constanța”</t>
  </si>
  <si>
    <t>”Revista TOMIS”</t>
  </si>
  <si>
    <t>”Strada Putna dinspre str. A.D.Xenopol către Vest”</t>
  </si>
  <si>
    <t>”Strada Posada dinspre str. Voievozilor către Vest”</t>
  </si>
  <si>
    <t>”Aleea Sânzienelor dinspre str. Voievozilor către Est”</t>
  </si>
  <si>
    <t>”Strada Lămâiței dinspre str. Voievozilor către Est”</t>
  </si>
  <si>
    <t>”Prelungirea Aleea Morilor tronson între str. Putna și str. Scheia”</t>
  </si>
  <si>
    <t>”Strada Drăgaica tronson între str. Voievozilor și str. Al. Șteflea”</t>
  </si>
  <si>
    <t>”Strada Teleajen dinspre str. Voievozilor către Vest”</t>
  </si>
  <si>
    <t>”Strada Scheia dinspre str. Voievozilor către Vest”</t>
  </si>
  <si>
    <t>”Strada Theodor Pallady tronson între str. Camil Ressu și str. Iosif Ieser”</t>
  </si>
  <si>
    <t>”Strada Tache Ionescu tronson între str. Iosif Ieser și str. Corneliu Babu”</t>
  </si>
  <si>
    <t>”Strada Camil Ressu tronson între str. Rovine și str. Theodor Pallady”</t>
  </si>
  <si>
    <t>”Strada Ștefan Dărăscu dinspre str. Camil Ressu către Nord”</t>
  </si>
  <si>
    <t>cf. HCL nr. 538/19.12.2019</t>
  </si>
  <si>
    <t>cf. HCL nr. 540/19.12.2019</t>
  </si>
  <si>
    <t>”Strada Muscel tronson între str. Al. Alexandridi și str. Al. Șteflea”</t>
  </si>
  <si>
    <t>”PUZ Poarta 6”</t>
  </si>
  <si>
    <t>”PUZ PARK &amp; RIDE NORD”</t>
  </si>
  <si>
    <t>”PUZ AVANTECH CONT”</t>
  </si>
  <si>
    <t>Redevență aferentă anului 2021 către SC RAJA SA pentru ”Programul de dezvoltare edilitară urbană a Municipiului Constanța - zona Faleză Nord Mun. Constanța”</t>
  </si>
  <si>
    <t xml:space="preserve">”Panou temporar L3mxH2m "Incubator de afaceri Constanța" </t>
  </si>
  <si>
    <t>”Reabilitarea, modernizarea și dotarea Grădiniței cu program prelungit MUGUREL, Constanța”</t>
  </si>
  <si>
    <t>”Achiziție Studiu de Fezabilitate în vederea realizării obiectivului de investiții ”Pasarelă pietonală peste liniile de cale ferată între cartierul Km 4-5 și cartierul Faleză Sud - Poarta 6, în zona Liceului Lucian Blaga”</t>
  </si>
  <si>
    <t>”Studiu de audibilitate privind organizarea și asigurarea activității de înștiințare, avertizare, prealarmare și alarmare în situații de protecție civilă”</t>
  </si>
  <si>
    <t xml:space="preserve"> HCL 113/16.07.2010, Decizie civilă nr. 529/20.06.2012 a Tribunalului Constanţa, Secţia II Civilă şi Decizie civilă nr. 1517/13.12.2012  Secţia II Civilă de Contencios Administrativ şi Fiscal</t>
  </si>
  <si>
    <t>”Reamenajare Piață agroalimentară TIC-TAC” prin RAEDPP</t>
  </si>
  <si>
    <t>”Elaborare documentație tehnico-economică (temă de proiectare, studii de teren - geotehnic și topografic, expertiză tehnică, studiu de trafic, studiu peisagistic, DALI, proiect tehnic pentru autorizarea lucrărilor, POE, PT și DE, altele, cerere de finanțare) aferentă obiectivului de investiții ”Îmbunătățirea mediului urban în Zona Inel II”</t>
  </si>
  <si>
    <t>”Consolidare structură de rezistență, supraînalțare și modernizare clădire sală de tenis de masă în cadrul Liceului cu program sportiv Nicolae Rotaru din Constanța”</t>
  </si>
  <si>
    <t>”Elaborare documentație tehnico-economică (temă de proiectare, expretiză tehnică, studii de teren - geotehnic și topografic, SF - inclusiv studiu peisagistic, proiect tehnic pentru autorizarea lucrărilor, POE, PT și DE și altele, cerere de finanțare) aferentă obiectivului de investiții ”Perdea Verde”</t>
  </si>
  <si>
    <t>”Elaborare documentație tehnico-economică (temă de proiectare, expretiză tehnică, studii de teren - geotehnic și topografic, SF - inclusiv studiu peisagistic, proiect tehnic pentru autorizarea lucrărilor, POE, PT și DE și altele, cerere de finanțare) aferentă obiectivului de investiții ”Îmbunătățirea mediului urban în zona Compozitori”</t>
  </si>
  <si>
    <t>01,02</t>
  </si>
  <si>
    <t>HCL 274/2019, HCL 231/2020, HCL  96/2021</t>
  </si>
  <si>
    <t>”Elaborare documentație tehnico-economică (studii de teren - geotehnic și topografic, studiu de trafic, SF, proiect tehnic pentru autorizarea lucrărilor, POE, PT și DE, altele, cerere de finanțare) aferentă obiectivului de investiții ”Achizitia de autobuze cu emisii de carbon scazute, destinate transportului public si crearea infrastructurii aferente”</t>
  </si>
  <si>
    <t>”Creșterea siguranței în municipiul Constanța-SAFE CITY 20 prin realizarea unui sistem operațional integrat de monitorizare (etapele SF, PT, DDE, CS, avize si altele)”</t>
  </si>
  <si>
    <t>C A P I T O L U L   87</t>
  </si>
  <si>
    <t>ALTE ACȚIUNI ECONOMICE</t>
  </si>
  <si>
    <t>”Organizația de Management al Destinației Mamaia - Constanța - contribuția municipiului Constanța la constituirea patrimoniului”</t>
  </si>
  <si>
    <t>HCL 129/2021</t>
  </si>
  <si>
    <t>HCL 130/2021</t>
  </si>
  <si>
    <t>HCL 94/2019, HCL 105/2020, HCL 151/2021</t>
  </si>
  <si>
    <t>”Elaborare documentație tehnico-economică Studiu de Fezabilitate ”Parcare publică multietajată”, zona Casa de Cultură, în municipiul Constanța”</t>
  </si>
  <si>
    <r>
      <t xml:space="preserve">                      </t>
    </r>
    <r>
      <rPr>
        <b/>
        <sz val="10.5"/>
        <rFont val="Times New Roman CE"/>
        <family val="0"/>
      </rPr>
      <t xml:space="preserve">                                                                            CAP.87 ALTE ACȚIUNI ECONOMICE</t>
    </r>
  </si>
  <si>
    <t>Director executiv ,</t>
  </si>
  <si>
    <t>Ani Viorica MERLĂ</t>
  </si>
  <si>
    <t>Director executiv  ,</t>
  </si>
  <si>
    <t>cf. HCL 99/28.03.2019, HCL494/18.11.2019, HCL 187/2021</t>
  </si>
  <si>
    <t>HCL 202/2018, HCL 331/2019, HCL 185/2021</t>
  </si>
  <si>
    <t>cf. HCL 100/28.03.2019, HCL 413/14.10.2019, HCL 95/2021</t>
  </si>
  <si>
    <t>HCL 203/2018, HCL 330/2019, HCL 188/2021</t>
  </si>
  <si>
    <t>HCL 291/31.08.2020, HCL 152/2021</t>
  </si>
  <si>
    <t>HCL 95/2019, HCL 234/2020, HCL 186/2021</t>
  </si>
  <si>
    <t>”Lucrări, servicii, furnizare și montaj utilaje și echipamente necesare realizării interconectării sistemelor video locale ale unităților școlare la dispeceratul Poliției locale - în cadrul proiectului Safe City”</t>
  </si>
  <si>
    <t>HCL 213/2021</t>
  </si>
  <si>
    <t>”Elaborare documentație tehnico-economică aferentă (expertiză tehnică, audit energetic, studii de teren - geotehnic și topografic, DALI - inclusiv studiu istoric, proiect pentru autorizarea execuției lucrărilor, POE, PT și DE și altele, cerere de finanțare) aferentă obiectivului de investiții ”Creșterea eficienței energetice a imobilului Casa Ion Bănescu”</t>
  </si>
  <si>
    <t>”Elaborare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Colegiul Național Pedagogic ”Constantin Brătescu”, Constanța”</t>
  </si>
  <si>
    <t>”Camere video cu sistem fotovoltaic, echipamente și instalare/dezinstalare”</t>
  </si>
  <si>
    <t>HCL  262/2018, HCL 149/2021</t>
  </si>
  <si>
    <t>VIORELA MIRABELA CĂLIN</t>
  </si>
  <si>
    <t xml:space="preserve">        VIORELA MIRABELA CĂLIN</t>
  </si>
  <si>
    <t xml:space="preserve">       VIORELA MIRABELA CĂLIN</t>
  </si>
  <si>
    <t>SECRETAR GENERAL</t>
  </si>
  <si>
    <t xml:space="preserve">SECRETAR GENERAL </t>
  </si>
  <si>
    <t>”Elaborare documentație tehnico-economică (expertiză tehnică, studii de teren - geotehnic și topografic, DALI, proiect tehnic pentru autorizarea lucrărilor, POE, PT și DE și altele) aferentă obiectivului de investiții Reabilitarea și modernizarea imobilului Casa Căsătoriilor, Constanța”</t>
  </si>
  <si>
    <t>Șef Birou urmărire execuție lucrări,</t>
  </si>
  <si>
    <t>”Elaborare Studiu de fundamentare a oportunității constituirii Asociației de Dezvoltare Intercomunitară cu rol în exercitarea atribuțiilor legale în domeniul serviciilor de transport public local la nivelul Zonei Metropolitane Constanța”</t>
  </si>
  <si>
    <t xml:space="preserve">”Elaborare studii topografice pentru fântânile arteziene din municipiul Constanța și stațiunea Mamaia” </t>
  </si>
  <si>
    <t xml:space="preserve">”Elaborare expertize tehnice fântâni arteziene din municipiul Constanța și stațiunea Mamaia” </t>
  </si>
  <si>
    <t xml:space="preserve">                                                                            </t>
  </si>
  <si>
    <t>”Stații portabile de comunicații TETRA”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</si>
  <si>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Școlii Gimnaziale nr. 30 Gheorghe Țițeica, Constanța”</t>
  </si>
  <si>
    <t>”Elaborare documentație tehnico-economică (SF, proiect tehnic pentru autorizarea lucrărilor, POE, PT și DE și altele, cerere de finanțare) aferent obiectivului de investiții ”Construire și dotare Spital municipal policlinic”</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</si>
  <si>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6,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</si>
  <si>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nr. 57,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</si>
  <si>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AZUR,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</si>
  <si>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LUMEA COPIILOR,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</si>
  <si>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STELUȚELE MĂRII,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</si>
  <si>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Grădiniței cu program prelungit ”CĂSUȚA DE TURTĂ DULCE”, Constanța”</t>
  </si>
  <si>
    <t>”Elaborare documentație tehnico-econimică (audit energetic, expertiză tehnică, studii de teren - geotehnic și topografic, DALI, proiect tehnic pentru autorizarea lucrărilor, POE, PT și DE  și altele, cerere de finanțare) aferentă obiectivului de investiții ”Reabilitarea, modernizarea și dotarea Colegiului Comercial ”Carol I”</t>
  </si>
  <si>
    <t>”Actualizare/Elaborare documentație tehnico-econimică (audit energetic, expertiză tehnică, studii de teren - geotehnic și topografic, DALI, proiect tehnic pentru autorizarea lucrărilor, POE, PT și DE  și altele, cerere de finanțare) aferentă obiectivului de investiții ”Creșterea eficienței energetice a imobilului Școala Gimnazială nr. 23, Constanța”</t>
  </si>
  <si>
    <t>”Reabilitarea, modernizarea și dotarea Liceului cu program sportiv "Nicolae Rotaru", Constanța ”</t>
  </si>
  <si>
    <t>”Reabilitarea și modernizarea Creșei nr.1, str. Adamclisi nr.1, municipiul Constanța”</t>
  </si>
  <si>
    <t>”Reabilitarea și modernizarea Creșei nr.2, Aleea Malinului nr.4, municipiul Constanța”</t>
  </si>
  <si>
    <t>”Reabilitarea și modernizarea Creșei nr.5, Aleea Mimozelor nr.4, municipiul Constanța”</t>
  </si>
  <si>
    <t>Transfer de la bugetul local</t>
  </si>
  <si>
    <t>Transfer</t>
  </si>
  <si>
    <t>de la bugetul</t>
  </si>
  <si>
    <t>Biroul apărare civilă, sănătate și securitate în muncă și situații de urgență</t>
  </si>
  <si>
    <t xml:space="preserve">”Elaborare documentație tehnico-economică a obiectivului de investiții ”Reabilitare, modernizare și dotare clădire administrativă - Servicii control” (DALI, PT, DTAC, studii, expertize, documentații avize, asistență tehnică din partea proiectantului, altele)” </t>
  </si>
  <si>
    <t xml:space="preserve">”Elaborare documentație tehnico-economică a obiectivului de investiții ”Reabilitare, modernizare și dotare sediu serviciu operativ rutier și ordine publică” (DALI, PT, DTAC, studii, expertize, documentații avize, asistență tehnică din partea proiectantului, altele)” </t>
  </si>
  <si>
    <t xml:space="preserve">”Elaborare documentație tehnico-economică a obiectivului de investiții ”Reabilitare, modernizare și dotare clădire pregătire fizică, vestiare - sală sport” (DALI, PT, DTAC, studii, expertize, documentații avize, asistență tehnică din partea proiectantului, altele)” </t>
  </si>
  <si>
    <t>”Achiziție și montare echipamente de joacă”</t>
  </si>
  <si>
    <t>cf. HCL 98/28.03.2019, HCL 349/2021</t>
  </si>
  <si>
    <t>”Analiză de risc în exploatare pentru spațiile de joacă din municipiul Constanța”</t>
  </si>
  <si>
    <t>”Actualizare Studiu de Fezabilitate ”Reabilitarea rețelelor termice primare/transport a energiei termice din municipiul Constanța - etapa II”</t>
  </si>
  <si>
    <t xml:space="preserve">  CAP.65 ÎNVĂȚĂMÂNT</t>
  </si>
  <si>
    <t>”Lucrări de investiții la sistemul de semaforizare din municipiul Constanța”</t>
  </si>
  <si>
    <t>HCL 193/2021</t>
  </si>
  <si>
    <t xml:space="preserve">”Elaborare Studiu de Prefezabilitate privind realizarea sistemului de canalizare, care să includă și soluții pentru preluarea și deversarea apelor pluviale în cartierele: Compozitori, Coiciu, Baba Novac, Universitate și Palazu Mare, din municipiul Constanța” </t>
  </si>
  <si>
    <t>HCL 346/2021</t>
  </si>
  <si>
    <t>”Elaborare documentație tehnico-economică a obiectivului de investiții ”Reabilitarea Școala nr. 39 Nicolae Tonitza (DALI, PT, DTAC, studii, expertiză tehnică, documentații avize, asistență tehnică din partea proiectantului, altele)”</t>
  </si>
  <si>
    <t>”Reabilitarea rețelelor de termoficare din municipiul Constanța - etapa III (execuție lucrări, inclusiv serviciul de proiectare - PAC, PT, DDE, asistență tehnică, altele)”</t>
  </si>
  <si>
    <t>”Elaborare studiu de fezabilitate, caiet de sarcini pentru obiectivul de investiții ”Creare spital modular pentru consolidarea capacității medicalea Spitalului Clinic de Boli Infecțioase Constanța, în contextul covid-19 și servicii de consultanța de specialitate (experți cooptați) în vederea derulării procedurii de achiziție publică de furnizare, montaj containere și echipamente medicale și lucrări conexe”</t>
  </si>
  <si>
    <t>”Lucrări de reproiectare pentru rețeaua de gaze medicale mai puțin zona ATI și etajele superioare zonei ATI” - Spitalul Clinic de Boli Infesțioase Constanța</t>
  </si>
  <si>
    <t>”Executia lucrarilor de reamenajare a locurilor de joaca existente in Municipiul Constanta”</t>
  </si>
  <si>
    <t>* Dotari</t>
  </si>
  <si>
    <t xml:space="preserve">                        NR. </t>
  </si>
  <si>
    <t xml:space="preserve">                    NR. </t>
  </si>
  <si>
    <t>Listă alte cheltuieli asimilate investițiilor pe anul 2022</t>
  </si>
  <si>
    <t xml:space="preserve">Valoare totală initiala </t>
  </si>
  <si>
    <t>Decontat pâna la 31.12. 2021</t>
  </si>
  <si>
    <t>Alocatie 2022, din care:</t>
  </si>
  <si>
    <t>Listă de dotări independente şi utilaje pe anul 2022</t>
  </si>
  <si>
    <t xml:space="preserve">                       NR. </t>
  </si>
  <si>
    <t xml:space="preserve">                  NR.</t>
  </si>
  <si>
    <t>Listă de studii și proiecte pe anul 2022</t>
  </si>
  <si>
    <t>Prevederi pentru 2022</t>
  </si>
  <si>
    <t>alocaţii 2022</t>
  </si>
  <si>
    <t>executat</t>
  </si>
  <si>
    <t>Lista obiectivelor de investiţii pe anul 2022</t>
  </si>
  <si>
    <t>01,30</t>
  </si>
  <si>
    <t>”Achiziția unui elevator pentru transportul pe scări destinat persoanelor cu dizabilități”</t>
  </si>
  <si>
    <t>Direcția logistică</t>
  </si>
  <si>
    <t>Direcția cultură, educație, sport, turism</t>
  </si>
  <si>
    <t>”Galerii de artă - proiectare și execuție”</t>
  </si>
  <si>
    <t>”Grădina de vară - SF, proiectare și expropriere”</t>
  </si>
  <si>
    <t>”Centrul cultural de tineret (Casa D”Italia)”</t>
  </si>
  <si>
    <t>”Casa lui Ovidiu - expertiză și proiectare”</t>
  </si>
  <si>
    <t>”Casa Anatol - SF și expertiză”</t>
  </si>
  <si>
    <t>”Network attached storage”</t>
  </si>
  <si>
    <t>Serviciul public de impozite și taxe Constanța</t>
  </si>
  <si>
    <t>”Scanner plat”</t>
  </si>
  <si>
    <t>”Calculator desktop TIP 1”</t>
  </si>
  <si>
    <t>”Calculator desktop TIP 2”</t>
  </si>
  <si>
    <t>”Server rackabil TIP 1”</t>
  </si>
  <si>
    <t>”Server rackabil TIP 2”</t>
  </si>
  <si>
    <t>”Licență Windows Server Standard Core 16 SL, core license, versiunea 2022”</t>
  </si>
  <si>
    <t>”Licență Microsoft SQL Server Standard, licențiere server”</t>
  </si>
  <si>
    <t>”Licență Microsoft SQL Server Standard - licențe user CAL-uri”</t>
  </si>
  <si>
    <t>”Aplicație informatică Tethys 2022”</t>
  </si>
  <si>
    <t>”Sistem detecție, semnalizare și alarmare în caz de efracție (Agenția Fiscală nr. 4)”</t>
  </si>
  <si>
    <t>”Sistem detecție, semnalizare și alarmare în caz de efracție (Agenția Fiscală nr. 2)”</t>
  </si>
  <si>
    <t>”Sistem detecție, semnalizare și alarmare în caz de efracție (Agenția Fiscală nr. 3)”</t>
  </si>
  <si>
    <t>”Sistem climatizare (Agenția Fiscală nr. 5)”</t>
  </si>
  <si>
    <t>„Reabilitare imobile aflate pe domeniul public si privat al Primariei municipiului Constanta prin R.A.- E.D.P.P. Constanta” - proiectare si executie”</t>
  </si>
  <si>
    <t>„Complex de joaca tip corabie” in parcul de distractii „Tara Piticilor” - Tabacariei, prin RAEDPP</t>
  </si>
  <si>
    <t>„Complex de joaca tip cetate medievala” in parcul de distractii „Tara Piticilor” - Tabacariei, prin RAEDPP</t>
  </si>
  <si>
    <t>”Racordarea la reteaua de gaze naturale a orasului a creselor si a sediului administrativ”</t>
  </si>
  <si>
    <t>”Expertiză tehnică pentru imobil din Al. Topolog nr. 6  în vederea stabilirii soluției tehnice pentru reabilitare sau demolare”</t>
  </si>
  <si>
    <t>”Lucrări de reparații și vopsire fațadă la Căminul pentru persoane vârstnice ”</t>
  </si>
  <si>
    <t>”Realizare rețea internă cu cablare structurată la Căminul pentru persoane vârstnice”</t>
  </si>
  <si>
    <t>”Achiziție serviciu de extindere rețea internă cu cablare structurată la DGAS - birouri”</t>
  </si>
  <si>
    <t>”Studiu și proiecte privind stabilirea soluției tehnice de asigurare a continuității activității pavilioanelor pentru pensionari pe întreaga perioadă a anului calendaristic”</t>
  </si>
  <si>
    <t>”Oscilometru” proiect SSM@160 - Servicii sociale și socio-medicale pentru persoanele vârstnice din municipiul Constanța, SMIS 125595, POCU 2014-2020</t>
  </si>
  <si>
    <t>”Aparat diatermie portabil - 1 buc” proiect SSM@160 - Servicii sociale și socio-medicale pentru persoanele vârstnice din municipiul Constanța, SMIS 125595, POCU 2014-2020</t>
  </si>
  <si>
    <t>”Aparat combi (electroterapie 2 canale, ultrasunete și laser) - 2 buc” proiect SSM@160 - Servicii sociale și socio-medicale pentru persoanele vârstnice din municipiul Constanța, SMIS 125595, POCU 2014-2020</t>
  </si>
  <si>
    <t>”Multifuncțională (birouri DGAS)”</t>
  </si>
  <si>
    <t>”Sistem tip DESKTOP cu licență windows 10 PRO (birouri DGAS)”</t>
  </si>
  <si>
    <t>”Licențe Microsoft Office”</t>
  </si>
  <si>
    <t>”Unitate de stocare (HDD NAS) (birouri DGAS)”</t>
  </si>
  <si>
    <t>"NAS - Network Attached Storage" (birouri DGAS)</t>
  </si>
  <si>
    <t>”Autoutilitară (birouri DGAS)”</t>
  </si>
  <si>
    <t>”Laptop cu licență windows 10 PRO (cabinete de medicină școlara)”</t>
  </si>
  <si>
    <t>Direcția generală poliție locală</t>
  </si>
  <si>
    <t>”Teaser (pistol cu electroșocuri) și rezervă”</t>
  </si>
  <si>
    <t>”Dispozitiv încărcare/descărcare armament”</t>
  </si>
  <si>
    <t>”Diverse echipamente informatice ”</t>
  </si>
  <si>
    <t>”Echipamente informatice (server back-office și front - office) - Proiect Planificare Strategică Integrată și Administrație Publică Eficiență la Nivelul Polului de Creștere zona Metropolinană Constanța”</t>
  </si>
  <si>
    <t>”Implementarea de module informatice privind serviciile gestionate partajat de către autoritățile publice locale aferentă proiectului - Proiect Planificare Strategică Integrată și Administrație Publică Eficiență la Nivelul Polului de Creștere zona Metropolinană Constanța”</t>
  </si>
  <si>
    <t>”Aplicație pagina de web a Primăriei municipiului Constanța - PWPMC”</t>
  </si>
  <si>
    <t>”Diverse echipamente informatice unități de învățământ ”</t>
  </si>
  <si>
    <t>”Aplicație soft pentru interacțiune cu mass media și informare cetățeni”</t>
  </si>
  <si>
    <t>”Aplicație soft inventar patrimoniu”</t>
  </si>
  <si>
    <t>”Platformă online pentru bugetarea participativă”</t>
  </si>
  <si>
    <t>”Aplicație informatică calcul dobânzi penalizatoare”</t>
  </si>
  <si>
    <t xml:space="preserve">Direcția digitalizare si tehnologia informației </t>
  </si>
  <si>
    <t>Direcția generală de asistență socială</t>
  </si>
  <si>
    <t>”Actualizarea planului de acțiune privind energia durabilă și climă al municipiului Constanța”</t>
  </si>
  <si>
    <t>Direcția generală urbanism și patrimoniu</t>
  </si>
  <si>
    <t>”Elaborare documentatie tehnico-economică Studiu de Fezabilitate pentru obiectivul de investiții Tețea de canalizație subterană în municipiul Constanța - NET CITY”</t>
  </si>
  <si>
    <t>”Programul local multianual de finanțare a proiectelor de regenerare urbană în municipiul Constanța”</t>
  </si>
  <si>
    <t>”PUZ - Zona de coastă a Mării Negre de la pescărie la Portul Tomis”</t>
  </si>
  <si>
    <t>”Actualizare plan urbanistic general municipiul Constanța ”</t>
  </si>
  <si>
    <t>”PUZ - TERMO STELIS”</t>
  </si>
  <si>
    <t>”PUZ BABA NOVAC”</t>
  </si>
  <si>
    <t>”PUZ - Poarta 3 - Poarta 4”</t>
  </si>
  <si>
    <t>”PUZ - Piața Griviței”</t>
  </si>
  <si>
    <t>”Elaborare PUZ - Celulozei”</t>
  </si>
  <si>
    <t>”Actualizare PUZ Veterani - Constanța Sud, modificare HCL nr. 316/2013”</t>
  </si>
  <si>
    <t>”Actualizare PUZ Palazu Mare - modificare HCL 121/2011”</t>
  </si>
  <si>
    <t>”Actualizare PUZ Mamaia aprobat prin HCL 121/2013”</t>
  </si>
  <si>
    <t>Extindere retele edilitar - urbane</t>
  </si>
  <si>
    <t>Actualizare PUZ reabilitarea și revitalizarea zonei peninsulare a municipiului Constanța, aprobat prin HCL nr. 416/2003</t>
  </si>
  <si>
    <t>Elaborare PUZ zona centrală a municipiului Constanța</t>
  </si>
  <si>
    <t>Elaborare PUZ Tomis I - Tomis II, municipiul Constanța</t>
  </si>
  <si>
    <t>”Achizitia serviciului de  elaborare Studiu de fezabilitate modalitatea optima de implementare a surselor noi pentru producerea de energie termica si energie electrica din municipiul Constanta ”</t>
  </si>
  <si>
    <t>Studii de fezabilitate pentru extinderea rețelei electrice de interes public</t>
  </si>
  <si>
    <t>”Extinderea rețelei electrice conform Ord 36/2019 Cartier Veterani - sector 1.1, municipiul Constanța”</t>
  </si>
  <si>
    <t>”Extinderea rețelei electrice conform Ord 36/2019 Cartier Veterani - sector 1.2, municipiul Constanța”</t>
  </si>
  <si>
    <t>”Strada Alexandru Alexandridi - tronson str. Govora - str. Otopeni”</t>
  </si>
  <si>
    <t>cf. HCL nr. 543/2019</t>
  </si>
  <si>
    <t>”Strada Prelungirea Eduard Caudella - tronson str. Rapsodiei - str. Constantin Bobescu”</t>
  </si>
  <si>
    <t>HCL 271/2021</t>
  </si>
  <si>
    <t>HCL 364/2021</t>
  </si>
  <si>
    <t>”Strada Cuarțului - etapa 1”</t>
  </si>
  <si>
    <t>”Strada Opalului - etapa 1”</t>
  </si>
  <si>
    <t>”Strada Safirului - etapa 1”</t>
  </si>
  <si>
    <t>”Strada Agatului - etapa 1”</t>
  </si>
  <si>
    <t>”Strada Ametistului - etapa 1”</t>
  </si>
  <si>
    <t>”Strada Perlei - etapa 1”</t>
  </si>
  <si>
    <t>”Strada Topazului - etapa 1”</t>
  </si>
  <si>
    <t>”Strada Smaraldului - etapa 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</si>
</sst>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numFmts>
  <fonts count="82">
    <font>
      <sz val="10"/>
      <name val="Arial"/>
      <family val="0"/>
    </font>
    <font>
      <sz val="11"/>
      <color indexed="8"/>
      <name val="Calibri"/>
      <family val="2"/>
    </font>
    <font>
      <sz val="10"/>
      <name val="Balcan"/>
      <family val="0"/>
    </font>
    <font>
      <sz val="8"/>
      <name val="Arial"/>
      <family val="2"/>
    </font>
    <font>
      <b/>
      <sz val="10.5"/>
      <name val="Times New Roman CE"/>
      <family val="0"/>
    </font>
    <font>
      <sz val="9"/>
      <name val="Times New Roman CE"/>
      <family val="0"/>
    </font>
    <font>
      <b/>
      <u val="single"/>
      <sz val="10.5"/>
      <name val="Times New Roman CE"/>
      <family val="0"/>
    </font>
    <font>
      <b/>
      <sz val="11"/>
      <name val="Times New Roman CE"/>
      <family val="0"/>
    </font>
    <font>
      <sz val="10"/>
      <name val="Times New Roman CE"/>
      <family val="0"/>
    </font>
    <font>
      <b/>
      <sz val="10"/>
      <name val="Times New Roman CE"/>
      <family val="0"/>
    </font>
    <font>
      <b/>
      <sz val="14"/>
      <name val="Arial"/>
      <family val="2"/>
    </font>
    <font>
      <b/>
      <u val="single"/>
      <sz val="11"/>
      <name val="Times New Roman CE"/>
      <family val="0"/>
    </font>
    <font>
      <sz val="10.5"/>
      <name val="Times New Roman CE"/>
      <family val="0"/>
    </font>
    <font>
      <sz val="11"/>
      <name val="Times New Roman CE"/>
      <family val="0"/>
    </font>
    <font>
      <sz val="8"/>
      <name val="Times New Roman CE"/>
      <family val="0"/>
    </font>
    <font>
      <i/>
      <sz val="8"/>
      <name val="Times New Roman CE"/>
      <family val="0"/>
    </font>
    <font>
      <b/>
      <i/>
      <sz val="8"/>
      <name val="Times New Roman CE"/>
      <family val="0"/>
    </font>
    <font>
      <sz val="9.5"/>
      <name val="Times New Roman CE"/>
      <family val="0"/>
    </font>
    <font>
      <b/>
      <sz val="9"/>
      <name val="Times New Roman CE"/>
      <family val="0"/>
    </font>
    <font>
      <b/>
      <u val="single"/>
      <sz val="16"/>
      <name val="Times New Roman CE"/>
      <family val="0"/>
    </font>
    <font>
      <b/>
      <sz val="12"/>
      <name val="Times New Roman CE"/>
      <family val="0"/>
    </font>
    <font>
      <i/>
      <sz val="9"/>
      <name val="Times New Roman CE"/>
      <family val="0"/>
    </font>
    <font>
      <b/>
      <sz val="9.5"/>
      <name val="Times New Roman CE"/>
      <family val="0"/>
    </font>
    <font>
      <sz val="12"/>
      <name val="Times New Roman CE"/>
      <family val="0"/>
    </font>
    <font>
      <b/>
      <u val="double"/>
      <sz val="12"/>
      <name val="Times New Roman CE"/>
      <family val="0"/>
    </font>
    <font>
      <sz val="9"/>
      <name val="Tahoma"/>
      <family val="2"/>
    </font>
    <font>
      <b/>
      <sz val="9"/>
      <name val="Tahoma"/>
      <family val="2"/>
    </font>
    <font>
      <b/>
      <u val="double"/>
      <sz val="11"/>
      <name val="Times New Roman CE"/>
      <family val="0"/>
    </font>
    <font>
      <b/>
      <sz val="8"/>
      <name val="Times New Roman CE"/>
      <family val="0"/>
    </font>
    <font>
      <sz val="7.5"/>
      <name val="Times New Roman CE"/>
      <family val="0"/>
    </font>
    <font>
      <i/>
      <sz val="11"/>
      <name val="Times New Roman CE"/>
      <family val="0"/>
    </font>
    <font>
      <b/>
      <i/>
      <sz val="10.5"/>
      <name val="Times New Roman CE"/>
      <family val="0"/>
    </font>
    <font>
      <i/>
      <sz val="10.5"/>
      <name val="Times New Roman CE"/>
      <family val="0"/>
    </font>
    <font>
      <b/>
      <u val="single"/>
      <sz val="10"/>
      <name val="Times New Roman CE"/>
      <family val="0"/>
    </font>
    <font>
      <b/>
      <u val="single"/>
      <sz val="9"/>
      <name val="Times New Roman CE"/>
      <family val="0"/>
    </font>
    <font>
      <u val="single"/>
      <sz val="8"/>
      <name val="Times New Roman CE"/>
      <family val="0"/>
    </font>
    <font>
      <u val="single"/>
      <sz val="16"/>
      <name val="Times New Roman CE"/>
      <family val="0"/>
    </font>
    <font>
      <b/>
      <sz val="10"/>
      <name val="Times New Roman"/>
      <family val="1"/>
    </font>
    <font>
      <sz val="7"/>
      <name val="Times New Roman CE"/>
      <family val="0"/>
    </font>
    <font>
      <sz val="10.5"/>
      <name val="Times New Roman"/>
      <family val="1"/>
    </font>
    <font>
      <sz val="10"/>
      <name val="Verdana"/>
      <family val="2"/>
    </font>
    <font>
      <sz val="11"/>
      <name val="Times New Roman"/>
      <family val="1"/>
    </font>
    <font>
      <b/>
      <i/>
      <sz val="9"/>
      <name val="Times New Roman CE"/>
      <family val="0"/>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9"/>
      <name val="Times New Roman CE"/>
      <family val="0"/>
    </font>
    <font>
      <sz val="9"/>
      <color indexed="9"/>
      <name val="Times New Roman CE"/>
      <family val="0"/>
    </font>
    <font>
      <sz val="10.5"/>
      <color indexed="9"/>
      <name val="Times New Roman CE"/>
      <family val="0"/>
    </font>
    <font>
      <sz val="10"/>
      <color indexed="9"/>
      <name val="Times New Roman CE"/>
      <family val="0"/>
    </font>
    <font>
      <b/>
      <sz val="10.5"/>
      <color indexed="9"/>
      <name val="Times New Roman CE"/>
      <family val="0"/>
    </font>
    <font>
      <b/>
      <sz val="11"/>
      <color indexed="9"/>
      <name val="Times New Roman CE"/>
      <family val="0"/>
    </font>
    <font>
      <sz val="10"/>
      <color indexed="10"/>
      <name val="Arial"/>
      <family val="2"/>
    </font>
    <font>
      <sz val="10"/>
      <color indexed="9"/>
      <name val="Verdana"/>
      <family val="2"/>
    </font>
    <font>
      <sz val="8"/>
      <color indexed="10"/>
      <name val="Times New Roman CE"/>
      <family val="0"/>
    </font>
    <font>
      <sz val="10.5"/>
      <color indexed="10"/>
      <name val="Times New Roman CE"/>
      <family val="0"/>
    </font>
    <font>
      <b/>
      <sz val="10.5"/>
      <color indexed="10"/>
      <name val="Times New Roman CE"/>
      <family val="0"/>
    </font>
    <font>
      <sz val="10"/>
      <color indexed="10"/>
      <name val="Times New Roman CE"/>
      <family val="0"/>
    </font>
    <font>
      <sz val="12"/>
      <color indexed="10"/>
      <name val="Times New Roman CE"/>
      <family val="0"/>
    </font>
    <font>
      <sz val="11"/>
      <color indexed="10"/>
      <name val="Times New Roman CE"/>
      <family val="0"/>
    </font>
    <font>
      <sz val="9"/>
      <color indexed="10"/>
      <name val="Times New Roman CE"/>
      <family val="0"/>
    </font>
    <font>
      <sz val="10"/>
      <color indexed="10"/>
      <name val="Verdana"/>
      <family val="2"/>
    </font>
    <font>
      <sz val="8"/>
      <color indexed="9"/>
      <name val="Times New Roman CE"/>
      <family val="0"/>
    </font>
    <font>
      <sz val="10"/>
      <color indexed="8"/>
      <name val="Arial CE"/>
      <family val="0"/>
    </font>
    <font>
      <b/>
      <sz val="14"/>
      <color indexed="8"/>
      <name val="Times New Roman CE"/>
      <family val="0"/>
    </font>
    <font>
      <sz val="10"/>
      <color indexed="8"/>
      <name val="Times New Roman CE"/>
      <family val="0"/>
    </font>
    <font>
      <b/>
      <sz val="10"/>
      <color indexed="8"/>
      <name val="Times New Roman CE"/>
      <family val="0"/>
    </font>
    <font>
      <b/>
      <sz val="12"/>
      <color indexed="9"/>
      <name val="Times New Roman CE"/>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top style="thin"/>
      <bottom/>
    </border>
    <border>
      <left style="thin"/>
      <right style="thin"/>
      <top style="thin"/>
      <bottom/>
    </border>
    <border>
      <left style="thin"/>
      <right style="medium"/>
      <top style="thin"/>
      <bottom/>
    </border>
    <border>
      <left style="thin"/>
      <right/>
      <top/>
      <bottom/>
    </border>
    <border>
      <left style="thin"/>
      <right style="medium"/>
      <top/>
      <bottom/>
    </border>
    <border>
      <left style="thin"/>
      <right style="thin"/>
      <top/>
      <bottom style="thin"/>
    </border>
    <border>
      <left style="medium"/>
      <right style="thin"/>
      <top style="thin"/>
      <bottom style="medium"/>
    </border>
    <border>
      <left style="thin"/>
      <right style="thin"/>
      <top style="thin"/>
      <bottom style="medium"/>
    </border>
    <border>
      <left/>
      <right/>
      <top style="thin"/>
      <bottom/>
    </border>
    <border>
      <left style="thin"/>
      <right style="thin"/>
      <top style="medium"/>
      <bottom style="medium"/>
    </border>
    <border>
      <left style="thin"/>
      <right/>
      <top style="medium"/>
      <bottom style="medium"/>
    </border>
    <border>
      <left style="medium"/>
      <right style="thin"/>
      <top style="medium"/>
      <bottom style="medium"/>
    </border>
    <border>
      <left style="thin"/>
      <right style="medium"/>
      <top style="medium"/>
      <bottom style="medium"/>
    </border>
    <border>
      <left style="thin"/>
      <right/>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4"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0" fontId="47" fillId="3" borderId="0" applyNumberFormat="0" applyBorder="0" applyAlignment="0" applyProtection="0"/>
    <xf numFmtId="0" fontId="48" fillId="20" borderId="3" applyNumberFormat="0" applyAlignment="0" applyProtection="0"/>
    <xf numFmtId="0" fontId="49" fillId="7" borderId="1" applyNumberFormat="0" applyAlignment="0" applyProtection="0"/>
    <xf numFmtId="0" fontId="50"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2" borderId="4" applyNumberFormat="0" applyFon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3" borderId="9" applyNumberFormat="0" applyAlignment="0" applyProtection="0"/>
  </cellStyleXfs>
  <cellXfs count="408">
    <xf numFmtId="0" fontId="0" fillId="0" borderId="0" xfId="0" applyAlignment="1">
      <alignment/>
    </xf>
    <xf numFmtId="0" fontId="10" fillId="0" borderId="0" xfId="0" applyFont="1" applyBorder="1" applyAlignment="1">
      <alignment/>
    </xf>
    <xf numFmtId="2" fontId="10" fillId="0" borderId="10" xfId="0" applyNumberFormat="1" applyFont="1" applyBorder="1" applyAlignment="1">
      <alignment horizontal="left" vertical="top"/>
    </xf>
    <xf numFmtId="0" fontId="10" fillId="0" borderId="11" xfId="0" applyFont="1" applyBorder="1" applyAlignment="1">
      <alignment/>
    </xf>
    <xf numFmtId="0" fontId="10" fillId="0" borderId="12" xfId="0" applyFont="1" applyBorder="1" applyAlignment="1">
      <alignment/>
    </xf>
    <xf numFmtId="2" fontId="10" fillId="0" borderId="10" xfId="0" applyNumberFormat="1" applyFont="1" applyBorder="1" applyAlignment="1">
      <alignment/>
    </xf>
    <xf numFmtId="0" fontId="10" fillId="0" borderId="13" xfId="0" applyFont="1" applyBorder="1" applyAlignment="1">
      <alignment/>
    </xf>
    <xf numFmtId="16" fontId="10" fillId="0" borderId="13" xfId="0" applyNumberFormat="1" applyFont="1" applyBorder="1" applyAlignment="1" quotePrefix="1">
      <alignment/>
    </xf>
    <xf numFmtId="17" fontId="10" fillId="0" borderId="13" xfId="0" applyNumberFormat="1" applyFont="1" applyBorder="1" applyAlignment="1" quotePrefix="1">
      <alignment/>
    </xf>
    <xf numFmtId="0" fontId="10" fillId="0" borderId="10" xfId="0" applyFont="1" applyBorder="1" applyAlignment="1">
      <alignment/>
    </xf>
    <xf numFmtId="3" fontId="13" fillId="24" borderId="0" xfId="52" applyNumberFormat="1" applyFont="1" applyFill="1" applyBorder="1" applyAlignment="1">
      <alignment vertical="center"/>
      <protection/>
    </xf>
    <xf numFmtId="3" fontId="13" fillId="24" borderId="13" xfId="52" applyNumberFormat="1" applyFont="1" applyFill="1" applyBorder="1" applyAlignment="1">
      <alignment vertical="center"/>
      <protection/>
    </xf>
    <xf numFmtId="0" fontId="8" fillId="24" borderId="0" xfId="54" applyFont="1" applyFill="1" applyAlignment="1">
      <alignment vertical="center"/>
      <protection/>
    </xf>
    <xf numFmtId="0" fontId="13" fillId="24" borderId="0" xfId="54" applyFont="1" applyFill="1" applyAlignment="1">
      <alignment vertical="center"/>
      <protection/>
    </xf>
    <xf numFmtId="3" fontId="7" fillId="24" borderId="0" xfId="54" applyNumberFormat="1" applyFont="1" applyFill="1" applyBorder="1" applyAlignment="1">
      <alignment horizontal="right" vertical="center" wrapText="1"/>
      <protection/>
    </xf>
    <xf numFmtId="3" fontId="12" fillId="24" borderId="0" xfId="53" applyNumberFormat="1" applyFont="1" applyFill="1" applyAlignment="1">
      <alignment vertical="center"/>
      <protection/>
    </xf>
    <xf numFmtId="3" fontId="17" fillId="24" borderId="0" xfId="0" applyNumberFormat="1" applyFont="1" applyFill="1" applyAlignment="1">
      <alignment vertical="center"/>
    </xf>
    <xf numFmtId="3" fontId="22" fillId="24" borderId="0" xfId="0" applyNumberFormat="1" applyFont="1" applyFill="1" applyAlignment="1">
      <alignment vertical="center"/>
    </xf>
    <xf numFmtId="3" fontId="4" fillId="24" borderId="0" xfId="53" applyNumberFormat="1" applyFont="1" applyFill="1" applyAlignment="1">
      <alignment vertical="center"/>
      <protection/>
    </xf>
    <xf numFmtId="3" fontId="23" fillId="24" borderId="0" xfId="52" applyNumberFormat="1" applyFont="1" applyFill="1" applyBorder="1" applyAlignment="1">
      <alignment vertical="center"/>
      <protection/>
    </xf>
    <xf numFmtId="3" fontId="22" fillId="24" borderId="0" xfId="52" applyNumberFormat="1" applyFont="1" applyFill="1" applyBorder="1" applyAlignment="1">
      <alignment vertical="center"/>
      <protection/>
    </xf>
    <xf numFmtId="3" fontId="23" fillId="24" borderId="0" xfId="52" applyNumberFormat="1" applyFont="1" applyFill="1" applyAlignment="1">
      <alignment horizontal="center" vertical="center"/>
      <protection/>
    </xf>
    <xf numFmtId="3" fontId="27" fillId="24" borderId="0" xfId="52" applyNumberFormat="1" applyFont="1" applyFill="1" applyBorder="1" applyAlignment="1">
      <alignment horizontal="center" vertical="center"/>
      <protection/>
    </xf>
    <xf numFmtId="3" fontId="7" fillId="24" borderId="0" xfId="52" applyNumberFormat="1" applyFont="1" applyFill="1" applyBorder="1" applyAlignment="1">
      <alignment horizontal="left" vertical="center"/>
      <protection/>
    </xf>
    <xf numFmtId="3" fontId="13" fillId="24" borderId="0" xfId="52" applyNumberFormat="1" applyFont="1" applyFill="1" applyAlignment="1">
      <alignment horizontal="right" vertical="center"/>
      <protection/>
    </xf>
    <xf numFmtId="0" fontId="20" fillId="24" borderId="0" xfId="52" applyFont="1" applyFill="1" applyAlignment="1">
      <alignment horizontal="center" vertical="center"/>
      <protection/>
    </xf>
    <xf numFmtId="0" fontId="7" fillId="24" borderId="0" xfId="52" applyFont="1" applyFill="1" applyBorder="1" applyAlignment="1">
      <alignment horizontal="center" vertical="center"/>
      <protection/>
    </xf>
    <xf numFmtId="3" fontId="7" fillId="24" borderId="13" xfId="52" applyNumberFormat="1" applyFont="1" applyFill="1" applyBorder="1" applyAlignment="1">
      <alignment vertical="center"/>
      <protection/>
    </xf>
    <xf numFmtId="3" fontId="20" fillId="24" borderId="0" xfId="52" applyNumberFormat="1" applyFont="1" applyFill="1" applyBorder="1" applyAlignment="1">
      <alignment horizontal="center" vertical="center"/>
      <protection/>
    </xf>
    <xf numFmtId="0" fontId="7" fillId="24" borderId="0" xfId="52" applyFont="1" applyFill="1" applyAlignment="1">
      <alignment horizontal="center" vertical="center"/>
      <protection/>
    </xf>
    <xf numFmtId="3" fontId="8" fillId="24" borderId="0" xfId="52" applyNumberFormat="1" applyFont="1" applyFill="1" applyBorder="1" applyAlignment="1">
      <alignment horizontal="center" vertical="center"/>
      <protection/>
    </xf>
    <xf numFmtId="3" fontId="5" fillId="24" borderId="0" xfId="52" applyNumberFormat="1" applyFont="1" applyFill="1" applyBorder="1" applyAlignment="1">
      <alignment vertical="center"/>
      <protection/>
    </xf>
    <xf numFmtId="3" fontId="8" fillId="24" borderId="0" xfId="52" applyNumberFormat="1" applyFont="1" applyFill="1" applyBorder="1" applyAlignment="1">
      <alignment horizontal="right" vertical="center"/>
      <protection/>
    </xf>
    <xf numFmtId="3" fontId="14" fillId="24" borderId="0" xfId="52" applyNumberFormat="1" applyFont="1" applyFill="1" applyBorder="1" applyAlignment="1">
      <alignment horizontal="right" vertical="center"/>
      <protection/>
    </xf>
    <xf numFmtId="3" fontId="13" fillId="24" borderId="0" xfId="52" applyNumberFormat="1" applyFont="1" applyFill="1" applyBorder="1" applyAlignment="1">
      <alignment horizontal="left" vertical="center"/>
      <protection/>
    </xf>
    <xf numFmtId="3" fontId="14" fillId="24" borderId="0" xfId="52" applyNumberFormat="1" applyFont="1" applyFill="1" applyBorder="1" applyAlignment="1">
      <alignment vertical="center"/>
      <protection/>
    </xf>
    <xf numFmtId="0" fontId="13" fillId="24" borderId="0" xfId="0" applyFont="1" applyFill="1" applyAlignment="1">
      <alignment vertical="center"/>
    </xf>
    <xf numFmtId="3" fontId="28" fillId="24" borderId="0" xfId="52" applyNumberFormat="1" applyFont="1" applyFill="1" applyBorder="1" applyAlignment="1">
      <alignment horizontal="right" vertical="center"/>
      <protection/>
    </xf>
    <xf numFmtId="3" fontId="20" fillId="24" borderId="0" xfId="52" applyNumberFormat="1" applyFont="1" applyFill="1" applyBorder="1" applyAlignment="1">
      <alignment vertical="center"/>
      <protection/>
    </xf>
    <xf numFmtId="3" fontId="21" fillId="24" borderId="0" xfId="52" applyNumberFormat="1" applyFont="1" applyFill="1" applyBorder="1" applyAlignment="1">
      <alignment horizontal="center" vertical="center"/>
      <protection/>
    </xf>
    <xf numFmtId="3" fontId="21" fillId="24" borderId="0" xfId="52" applyNumberFormat="1" applyFont="1" applyFill="1" applyBorder="1" applyAlignment="1">
      <alignment vertical="center"/>
      <protection/>
    </xf>
    <xf numFmtId="0" fontId="21" fillId="24" borderId="0" xfId="52" applyFont="1" applyFill="1" applyBorder="1" applyAlignment="1">
      <alignment vertical="center"/>
      <protection/>
    </xf>
    <xf numFmtId="0" fontId="21" fillId="24" borderId="0" xfId="52" applyFont="1" applyFill="1" applyBorder="1" applyAlignment="1">
      <alignment horizontal="right" vertical="center"/>
      <protection/>
    </xf>
    <xf numFmtId="3" fontId="21" fillId="24" borderId="14" xfId="52" applyNumberFormat="1" applyFont="1" applyFill="1" applyBorder="1" applyAlignment="1">
      <alignment horizontal="center" vertical="center"/>
      <protection/>
    </xf>
    <xf numFmtId="3" fontId="21" fillId="24" borderId="15" xfId="52" applyNumberFormat="1" applyFont="1" applyFill="1" applyBorder="1" applyAlignment="1">
      <alignment vertical="center"/>
      <protection/>
    </xf>
    <xf numFmtId="3" fontId="21" fillId="24" borderId="16" xfId="52" applyNumberFormat="1" applyFont="1" applyFill="1" applyBorder="1" applyAlignment="1">
      <alignment horizontal="center" vertical="center"/>
      <protection/>
    </xf>
    <xf numFmtId="3" fontId="21" fillId="24" borderId="17" xfId="52" applyNumberFormat="1" applyFont="1" applyFill="1" applyBorder="1" applyAlignment="1">
      <alignment horizontal="center" vertical="center"/>
      <protection/>
    </xf>
    <xf numFmtId="3" fontId="21" fillId="24" borderId="18" xfId="52" applyNumberFormat="1" applyFont="1" applyFill="1" applyBorder="1" applyAlignment="1">
      <alignment horizontal="center" vertical="center"/>
      <protection/>
    </xf>
    <xf numFmtId="3" fontId="21" fillId="24" borderId="19" xfId="52" applyNumberFormat="1" applyFont="1" applyFill="1" applyBorder="1" applyAlignment="1">
      <alignment horizontal="center" vertical="center"/>
      <protection/>
    </xf>
    <xf numFmtId="3" fontId="21" fillId="24" borderId="20" xfId="52" applyNumberFormat="1" applyFont="1" applyFill="1" applyBorder="1" applyAlignment="1">
      <alignment horizontal="center" vertical="center"/>
      <protection/>
    </xf>
    <xf numFmtId="3" fontId="21" fillId="24" borderId="17" xfId="52" applyNumberFormat="1" applyFont="1" applyFill="1" applyBorder="1" applyAlignment="1" quotePrefix="1">
      <alignment horizontal="center" vertical="center"/>
      <protection/>
    </xf>
    <xf numFmtId="3" fontId="21" fillId="24" borderId="21" xfId="52" applyNumberFormat="1" applyFont="1" applyFill="1" applyBorder="1" applyAlignment="1">
      <alignment horizontal="center" vertical="center"/>
      <protection/>
    </xf>
    <xf numFmtId="3" fontId="21" fillId="24" borderId="22" xfId="52" applyNumberFormat="1" applyFont="1" applyFill="1" applyBorder="1" applyAlignment="1">
      <alignment horizontal="center" vertical="center"/>
      <protection/>
    </xf>
    <xf numFmtId="0" fontId="21" fillId="24" borderId="21" xfId="52" applyNumberFormat="1" applyFont="1" applyFill="1" applyBorder="1" applyAlignment="1">
      <alignment vertical="center"/>
      <protection/>
    </xf>
    <xf numFmtId="3" fontId="21" fillId="24" borderId="23" xfId="52" applyNumberFormat="1" applyFont="1" applyFill="1" applyBorder="1" applyAlignment="1">
      <alignment horizontal="center" vertical="center"/>
      <protection/>
    </xf>
    <xf numFmtId="3" fontId="21" fillId="24" borderId="24" xfId="52" applyNumberFormat="1" applyFont="1" applyFill="1" applyBorder="1" applyAlignment="1">
      <alignment horizontal="center" vertical="center"/>
      <protection/>
    </xf>
    <xf numFmtId="3" fontId="21" fillId="24" borderId="25" xfId="52" applyNumberFormat="1" applyFont="1" applyFill="1" applyBorder="1" applyAlignment="1">
      <alignment horizontal="center" vertical="center"/>
      <protection/>
    </xf>
    <xf numFmtId="3" fontId="7" fillId="24" borderId="0" xfId="52" applyNumberFormat="1" applyFont="1" applyFill="1" applyBorder="1" applyAlignment="1">
      <alignment horizontal="center" vertical="center"/>
      <protection/>
    </xf>
    <xf numFmtId="3" fontId="7" fillId="24" borderId="13" xfId="52" applyNumberFormat="1" applyFont="1" applyFill="1" applyBorder="1" applyAlignment="1">
      <alignment horizontal="right" vertical="center"/>
      <protection/>
    </xf>
    <xf numFmtId="3" fontId="23" fillId="24" borderId="0" xfId="52" applyNumberFormat="1" applyFont="1" applyFill="1" applyBorder="1" applyAlignment="1">
      <alignment horizontal="center" vertical="center"/>
      <protection/>
    </xf>
    <xf numFmtId="3" fontId="13" fillId="24" borderId="0" xfId="52" applyNumberFormat="1" applyFont="1" applyFill="1" applyBorder="1" applyAlignment="1">
      <alignment horizontal="right" vertical="center"/>
      <protection/>
    </xf>
    <xf numFmtId="3" fontId="7" fillId="24" borderId="19" xfId="52" applyNumberFormat="1" applyFont="1" applyFill="1" applyBorder="1" applyAlignment="1">
      <alignment horizontal="center" vertical="center"/>
      <protection/>
    </xf>
    <xf numFmtId="3" fontId="7" fillId="24" borderId="23" xfId="52" applyNumberFormat="1" applyFont="1" applyFill="1" applyBorder="1" applyAlignment="1">
      <alignment horizontal="center" vertical="center"/>
      <protection/>
    </xf>
    <xf numFmtId="3" fontId="7" fillId="24" borderId="26" xfId="52" applyNumberFormat="1" applyFont="1" applyFill="1" applyBorder="1" applyAlignment="1">
      <alignment horizontal="right" vertical="center"/>
      <protection/>
    </xf>
    <xf numFmtId="3" fontId="18" fillId="24" borderId="0" xfId="52" applyNumberFormat="1" applyFont="1" applyFill="1" applyBorder="1" applyAlignment="1">
      <alignment vertical="center"/>
      <protection/>
    </xf>
    <xf numFmtId="3" fontId="15" fillId="24" borderId="0" xfId="52" applyNumberFormat="1" applyFont="1" applyFill="1" applyBorder="1" applyAlignment="1">
      <alignment horizontal="right" vertical="center"/>
      <protection/>
    </xf>
    <xf numFmtId="3" fontId="15" fillId="24" borderId="0" xfId="52" applyNumberFormat="1" applyFont="1" applyFill="1" applyBorder="1" applyAlignment="1">
      <alignment vertical="center"/>
      <protection/>
    </xf>
    <xf numFmtId="3" fontId="24" fillId="24" borderId="0" xfId="52" applyNumberFormat="1" applyFont="1" applyFill="1" applyBorder="1" applyAlignment="1">
      <alignment horizontal="center" vertical="center"/>
      <protection/>
    </xf>
    <xf numFmtId="3" fontId="16" fillId="24" borderId="0" xfId="52" applyNumberFormat="1" applyFont="1" applyFill="1" applyBorder="1" applyAlignment="1">
      <alignment horizontal="right" vertical="center"/>
      <protection/>
    </xf>
    <xf numFmtId="3" fontId="16" fillId="24" borderId="0" xfId="52" applyNumberFormat="1" applyFont="1" applyFill="1" applyBorder="1" applyAlignment="1">
      <alignment vertical="center"/>
      <protection/>
    </xf>
    <xf numFmtId="3" fontId="17" fillId="24" borderId="0" xfId="52" applyNumberFormat="1" applyFont="1" applyFill="1" applyBorder="1" applyAlignment="1">
      <alignment vertical="center"/>
      <protection/>
    </xf>
    <xf numFmtId="3" fontId="13" fillId="24" borderId="13" xfId="52" applyNumberFormat="1" applyFont="1" applyFill="1" applyBorder="1" applyAlignment="1">
      <alignment horizontal="right" vertical="center"/>
      <protection/>
    </xf>
    <xf numFmtId="0" fontId="23" fillId="24" borderId="0" xfId="52" applyFont="1" applyFill="1" applyAlignment="1">
      <alignment horizontal="center" vertical="center"/>
      <protection/>
    </xf>
    <xf numFmtId="0" fontId="20" fillId="24" borderId="0" xfId="0" applyFont="1" applyFill="1" applyAlignment="1">
      <alignment horizontal="center" vertical="center"/>
    </xf>
    <xf numFmtId="3" fontId="13" fillId="24" borderId="0" xfId="0" applyNumberFormat="1" applyFont="1" applyFill="1" applyAlignment="1">
      <alignment horizontal="right" vertical="center"/>
    </xf>
    <xf numFmtId="3" fontId="7" fillId="24" borderId="0" xfId="52" applyNumberFormat="1" applyFont="1" applyFill="1" applyBorder="1" applyAlignment="1">
      <alignment vertical="center"/>
      <protection/>
    </xf>
    <xf numFmtId="3" fontId="23" fillId="24" borderId="0" xfId="0" applyNumberFormat="1" applyFont="1" applyFill="1" applyAlignment="1">
      <alignment horizontal="right" vertical="center"/>
    </xf>
    <xf numFmtId="3" fontId="13" fillId="24" borderId="0" xfId="52" applyNumberFormat="1" applyFont="1" applyFill="1" applyAlignment="1">
      <alignment vertical="center"/>
      <protection/>
    </xf>
    <xf numFmtId="3" fontId="23" fillId="24" borderId="0" xfId="0" applyNumberFormat="1" applyFont="1" applyFill="1" applyAlignment="1" quotePrefix="1">
      <alignment horizontal="right" vertical="center"/>
    </xf>
    <xf numFmtId="3" fontId="12" fillId="24" borderId="0" xfId="53" applyNumberFormat="1" applyFont="1" applyFill="1" applyBorder="1" applyAlignment="1">
      <alignment horizontal="right" vertical="center"/>
      <protection/>
    </xf>
    <xf numFmtId="3" fontId="20" fillId="24" borderId="0" xfId="0" applyNumberFormat="1" applyFont="1" applyFill="1" applyBorder="1" applyAlignment="1">
      <alignment horizontal="center" vertical="center"/>
    </xf>
    <xf numFmtId="3" fontId="13" fillId="24" borderId="13" xfId="0" applyNumberFormat="1" applyFont="1" applyFill="1" applyBorder="1" applyAlignment="1">
      <alignment vertical="center"/>
    </xf>
    <xf numFmtId="3" fontId="13" fillId="24" borderId="0" xfId="0" applyNumberFormat="1" applyFont="1" applyFill="1" applyBorder="1" applyAlignment="1">
      <alignment vertical="center"/>
    </xf>
    <xf numFmtId="3" fontId="20" fillId="24" borderId="0" xfId="52" applyNumberFormat="1" applyFont="1" applyFill="1" applyBorder="1" applyAlignment="1">
      <alignment horizontal="center" vertical="center" wrapText="1"/>
      <protection/>
    </xf>
    <xf numFmtId="3" fontId="14" fillId="24" borderId="0" xfId="53" applyNumberFormat="1" applyFont="1" applyFill="1" applyAlignment="1">
      <alignment horizontal="right" vertical="center"/>
      <protection/>
    </xf>
    <xf numFmtId="3" fontId="14" fillId="24" borderId="0" xfId="0" applyNumberFormat="1" applyFont="1" applyFill="1" applyAlignment="1">
      <alignment horizontal="right" vertical="center"/>
    </xf>
    <xf numFmtId="3" fontId="13" fillId="24" borderId="12" xfId="0" applyNumberFormat="1" applyFont="1" applyFill="1" applyBorder="1" applyAlignment="1">
      <alignment vertical="center"/>
    </xf>
    <xf numFmtId="3" fontId="13" fillId="24" borderId="0" xfId="0" applyNumberFormat="1" applyFont="1" applyFill="1" applyAlignment="1">
      <alignment vertical="center"/>
    </xf>
    <xf numFmtId="0" fontId="4" fillId="24" borderId="0" xfId="54" applyFont="1" applyFill="1" applyAlignment="1">
      <alignment vertical="center"/>
      <protection/>
    </xf>
    <xf numFmtId="3" fontId="7" fillId="24" borderId="13" xfId="0" applyNumberFormat="1" applyFont="1" applyFill="1" applyBorder="1" applyAlignment="1">
      <alignment vertical="center"/>
    </xf>
    <xf numFmtId="3" fontId="7" fillId="24" borderId="0" xfId="52" applyNumberFormat="1" applyFont="1" applyFill="1" applyAlignment="1">
      <alignment vertical="center"/>
      <protection/>
    </xf>
    <xf numFmtId="3" fontId="20" fillId="24" borderId="0" xfId="52" applyNumberFormat="1" applyFont="1" applyFill="1" applyAlignment="1">
      <alignment horizontal="center" vertical="center"/>
      <protection/>
    </xf>
    <xf numFmtId="49" fontId="7" fillId="24" borderId="0" xfId="52" applyNumberFormat="1" applyFont="1" applyFill="1" applyBorder="1" applyAlignment="1">
      <alignment horizontal="left" vertical="center" wrapText="1"/>
      <protection/>
    </xf>
    <xf numFmtId="49" fontId="13" fillId="24" borderId="0" xfId="52" applyNumberFormat="1" applyFont="1" applyFill="1" applyBorder="1" applyAlignment="1">
      <alignment horizontal="left" vertical="center" wrapText="1"/>
      <protection/>
    </xf>
    <xf numFmtId="49" fontId="7" fillId="24" borderId="0" xfId="52" applyNumberFormat="1" applyFont="1" applyFill="1" applyBorder="1" applyAlignment="1">
      <alignment horizontal="center" vertical="center" wrapText="1"/>
      <protection/>
    </xf>
    <xf numFmtId="3" fontId="13" fillId="24" borderId="0" xfId="52" applyNumberFormat="1" applyFont="1" applyFill="1" applyBorder="1" applyAlignment="1">
      <alignment/>
      <protection/>
    </xf>
    <xf numFmtId="3" fontId="7" fillId="24" borderId="0" xfId="52" applyNumberFormat="1" applyFont="1" applyFill="1" applyBorder="1" applyAlignment="1">
      <alignment horizontal="center" vertical="center" wrapText="1"/>
      <protection/>
    </xf>
    <xf numFmtId="3" fontId="13" fillId="24" borderId="0" xfId="52" applyNumberFormat="1" applyFont="1" applyFill="1" applyAlignment="1" quotePrefix="1">
      <alignment vertical="center"/>
      <protection/>
    </xf>
    <xf numFmtId="3" fontId="13" fillId="24" borderId="12" xfId="52" applyNumberFormat="1" applyFont="1" applyFill="1" applyBorder="1" applyAlignment="1">
      <alignment vertical="center"/>
      <protection/>
    </xf>
    <xf numFmtId="3" fontId="13" fillId="24" borderId="0" xfId="0" applyNumberFormat="1" applyFont="1" applyFill="1" applyAlignment="1" quotePrefix="1">
      <alignment vertical="center"/>
    </xf>
    <xf numFmtId="3" fontId="12" fillId="24" borderId="0" xfId="50" applyNumberFormat="1" applyFont="1" applyFill="1" applyAlignment="1">
      <alignment horizontal="left" vertical="center"/>
      <protection/>
    </xf>
    <xf numFmtId="3" fontId="13" fillId="24" borderId="0" xfId="50" applyNumberFormat="1" applyFont="1" applyFill="1" applyAlignment="1">
      <alignment vertical="center"/>
      <protection/>
    </xf>
    <xf numFmtId="49" fontId="14" fillId="24" borderId="0" xfId="54" applyNumberFormat="1" applyFont="1" applyFill="1" applyAlignment="1">
      <alignment horizontal="center" vertical="center"/>
      <protection/>
    </xf>
    <xf numFmtId="3" fontId="13" fillId="24" borderId="0" xfId="50" applyNumberFormat="1" applyFont="1" applyFill="1" applyBorder="1" applyAlignment="1">
      <alignment vertical="center"/>
      <protection/>
    </xf>
    <xf numFmtId="0" fontId="8" fillId="24" borderId="0" xfId="54" applyFont="1" applyFill="1" applyAlignment="1">
      <alignment horizontal="center" vertical="center"/>
      <protection/>
    </xf>
    <xf numFmtId="3" fontId="13" fillId="24" borderId="0" xfId="54" applyNumberFormat="1" applyFont="1" applyFill="1" applyAlignment="1">
      <alignment vertical="center"/>
      <protection/>
    </xf>
    <xf numFmtId="0" fontId="7" fillId="24" borderId="0" xfId="54" applyFont="1" applyFill="1" applyAlignment="1">
      <alignment vertical="center"/>
      <protection/>
    </xf>
    <xf numFmtId="0" fontId="13" fillId="24" borderId="0" xfId="54" applyFont="1" applyFill="1" applyAlignment="1">
      <alignment horizontal="center" vertical="center"/>
      <protection/>
    </xf>
    <xf numFmtId="172" fontId="13" fillId="24" borderId="0" xfId="54" applyNumberFormat="1" applyFont="1" applyFill="1" applyAlignment="1">
      <alignment vertical="center"/>
      <protection/>
    </xf>
    <xf numFmtId="0" fontId="13" fillId="24" borderId="0" xfId="54" applyFont="1" applyFill="1" applyAlignment="1">
      <alignment horizontal="right" vertical="center"/>
      <protection/>
    </xf>
    <xf numFmtId="0" fontId="14" fillId="24" borderId="0" xfId="54" applyFont="1" applyFill="1" applyAlignment="1">
      <alignment vertical="center"/>
      <protection/>
    </xf>
    <xf numFmtId="0" fontId="12" fillId="24" borderId="0" xfId="54" applyFont="1" applyFill="1" applyAlignment="1">
      <alignment vertical="center"/>
      <protection/>
    </xf>
    <xf numFmtId="49" fontId="14" fillId="24" borderId="0" xfId="54" applyNumberFormat="1" applyFont="1" applyFill="1" applyBorder="1" applyAlignment="1">
      <alignment horizontal="center" vertical="center"/>
      <protection/>
    </xf>
    <xf numFmtId="0" fontId="12" fillId="24" borderId="0" xfId="54" applyFont="1" applyFill="1" applyBorder="1" applyAlignment="1">
      <alignment vertical="center"/>
      <protection/>
    </xf>
    <xf numFmtId="3" fontId="7" fillId="24" borderId="0" xfId="53" applyNumberFormat="1" applyFont="1" applyFill="1" applyAlignment="1">
      <alignment vertical="center"/>
      <protection/>
    </xf>
    <xf numFmtId="0" fontId="29" fillId="24" borderId="0" xfId="54" applyFont="1" applyFill="1" applyAlignment="1">
      <alignment vertical="center"/>
      <protection/>
    </xf>
    <xf numFmtId="3" fontId="12" fillId="24" borderId="0" xfId="53" applyNumberFormat="1" applyFont="1" applyFill="1" applyAlignment="1">
      <alignment horizontal="center" vertical="center"/>
      <protection/>
    </xf>
    <xf numFmtId="3" fontId="12" fillId="24" borderId="0" xfId="50" applyNumberFormat="1" applyFont="1" applyFill="1" applyAlignment="1">
      <alignment horizontal="center" vertical="center"/>
      <protection/>
    </xf>
    <xf numFmtId="3" fontId="14" fillId="24" borderId="0" xfId="50" applyNumberFormat="1" applyFont="1" applyFill="1" applyAlignment="1">
      <alignment horizontal="center" vertical="center"/>
      <protection/>
    </xf>
    <xf numFmtId="3" fontId="13" fillId="24" borderId="0" xfId="53" applyNumberFormat="1" applyFont="1" applyFill="1" applyAlignment="1">
      <alignment horizontal="center" vertical="center"/>
      <protection/>
    </xf>
    <xf numFmtId="3" fontId="14" fillId="24" borderId="0" xfId="53" applyNumberFormat="1" applyFont="1" applyFill="1" applyAlignment="1">
      <alignment vertical="center"/>
      <protection/>
    </xf>
    <xf numFmtId="3" fontId="13" fillId="24" borderId="0" xfId="53" applyNumberFormat="1" applyFont="1" applyFill="1" applyAlignment="1">
      <alignment vertical="center"/>
      <protection/>
    </xf>
    <xf numFmtId="3" fontId="36" fillId="24" borderId="0" xfId="53" applyNumberFormat="1" applyFont="1" applyFill="1" applyAlignment="1">
      <alignment horizontal="center" vertical="center"/>
      <protection/>
    </xf>
    <xf numFmtId="3" fontId="35" fillId="24" borderId="0" xfId="53" applyNumberFormat="1" applyFont="1" applyFill="1" applyAlignment="1">
      <alignment horizontal="center" vertical="center"/>
      <protection/>
    </xf>
    <xf numFmtId="0" fontId="14" fillId="24" borderId="0" xfId="54" applyFont="1" applyFill="1" applyAlignment="1">
      <alignment horizontal="right" vertical="center"/>
      <protection/>
    </xf>
    <xf numFmtId="3" fontId="16" fillId="24" borderId="27" xfId="54" applyNumberFormat="1" applyFont="1" applyFill="1" applyBorder="1" applyAlignment="1">
      <alignment horizontal="center" vertical="center" wrapText="1"/>
      <protection/>
    </xf>
    <xf numFmtId="3" fontId="16" fillId="24" borderId="28" xfId="54" applyNumberFormat="1" applyFont="1" applyFill="1" applyBorder="1" applyAlignment="1">
      <alignment horizontal="center" vertical="center" wrapText="1"/>
      <protection/>
    </xf>
    <xf numFmtId="3" fontId="12" fillId="24" borderId="13" xfId="53" applyNumberFormat="1" applyFont="1" applyFill="1" applyBorder="1" applyAlignment="1">
      <alignment horizontal="center" vertical="center"/>
      <protection/>
    </xf>
    <xf numFmtId="0" fontId="12" fillId="24" borderId="13" xfId="54" applyFont="1" applyFill="1" applyBorder="1" applyAlignment="1">
      <alignment horizontal="center" vertical="center" wrapText="1"/>
      <protection/>
    </xf>
    <xf numFmtId="3" fontId="12" fillId="24" borderId="13" xfId="53" applyNumberFormat="1" applyFont="1" applyFill="1" applyBorder="1" applyAlignment="1">
      <alignment horizontal="right" vertical="center" wrapText="1"/>
      <protection/>
    </xf>
    <xf numFmtId="3" fontId="4" fillId="24" borderId="13" xfId="51" applyNumberFormat="1" applyFont="1" applyFill="1" applyBorder="1" applyAlignment="1">
      <alignment horizontal="right" vertical="center" wrapText="1"/>
      <protection/>
    </xf>
    <xf numFmtId="3" fontId="12" fillId="24" borderId="13" xfId="51" applyNumberFormat="1" applyFont="1" applyFill="1" applyBorder="1" applyAlignment="1">
      <alignment horizontal="right" vertical="center" wrapText="1"/>
      <protection/>
    </xf>
    <xf numFmtId="49" fontId="14" fillId="24" borderId="0" xfId="53" applyNumberFormat="1" applyFont="1" applyFill="1" applyBorder="1" applyAlignment="1">
      <alignment horizontal="center" vertical="center"/>
      <protection/>
    </xf>
    <xf numFmtId="3" fontId="12" fillId="24" borderId="0" xfId="53" applyNumberFormat="1" applyFont="1" applyFill="1" applyBorder="1" applyAlignment="1">
      <alignment horizontal="center" vertical="center"/>
      <protection/>
    </xf>
    <xf numFmtId="3" fontId="4" fillId="24" borderId="0" xfId="53" applyNumberFormat="1" applyFont="1" applyFill="1" applyBorder="1" applyAlignment="1">
      <alignment horizontal="center" vertical="center"/>
      <protection/>
    </xf>
    <xf numFmtId="3" fontId="4" fillId="24" borderId="23" xfId="53" applyNumberFormat="1" applyFont="1" applyFill="1" applyBorder="1" applyAlignment="1">
      <alignment vertical="center"/>
      <protection/>
    </xf>
    <xf numFmtId="3" fontId="14" fillId="24" borderId="0" xfId="53" applyNumberFormat="1" applyFont="1" applyFill="1" applyAlignment="1">
      <alignment horizontal="center" vertical="center"/>
      <protection/>
    </xf>
    <xf numFmtId="3" fontId="4" fillId="24" borderId="0" xfId="53" applyNumberFormat="1" applyFont="1" applyFill="1" applyBorder="1" applyAlignment="1">
      <alignment vertical="center"/>
      <protection/>
    </xf>
    <xf numFmtId="3" fontId="14" fillId="24" borderId="0" xfId="53" applyNumberFormat="1" applyFont="1" applyFill="1" applyBorder="1" applyAlignment="1">
      <alignment vertical="center"/>
      <protection/>
    </xf>
    <xf numFmtId="3" fontId="4" fillId="24" borderId="13" xfId="54" applyNumberFormat="1" applyFont="1" applyFill="1" applyBorder="1" applyAlignment="1">
      <alignment vertical="center"/>
      <protection/>
    </xf>
    <xf numFmtId="49" fontId="14" fillId="24" borderId="0" xfId="53" applyNumberFormat="1" applyFont="1" applyFill="1" applyAlignment="1">
      <alignment horizontal="center" vertical="center"/>
      <protection/>
    </xf>
    <xf numFmtId="3" fontId="7" fillId="24" borderId="0" xfId="53" applyNumberFormat="1" applyFont="1" applyFill="1" applyBorder="1" applyAlignment="1">
      <alignment horizontal="center" vertical="center"/>
      <protection/>
    </xf>
    <xf numFmtId="3" fontId="4" fillId="24" borderId="23" xfId="53" applyNumberFormat="1" applyFont="1" applyFill="1" applyBorder="1" applyAlignment="1">
      <alignment horizontal="right" vertical="center"/>
      <protection/>
    </xf>
    <xf numFmtId="3" fontId="12" fillId="24" borderId="0" xfId="53" applyNumberFormat="1" applyFont="1" applyFill="1" applyAlignment="1">
      <alignment vertical="center" wrapText="1"/>
      <protection/>
    </xf>
    <xf numFmtId="3" fontId="7" fillId="24" borderId="0" xfId="53" applyNumberFormat="1" applyFont="1" applyFill="1" applyBorder="1" applyAlignment="1">
      <alignment vertical="center"/>
      <protection/>
    </xf>
    <xf numFmtId="3" fontId="14" fillId="24" borderId="0" xfId="53" applyNumberFormat="1" applyFont="1" applyFill="1" applyAlignment="1">
      <alignment horizontal="center" vertical="center" wrapText="1"/>
      <protection/>
    </xf>
    <xf numFmtId="3" fontId="14" fillId="24" borderId="13" xfId="53" applyNumberFormat="1" applyFont="1" applyFill="1" applyBorder="1" applyAlignment="1">
      <alignment horizontal="center" vertical="center" wrapText="1"/>
      <protection/>
    </xf>
    <xf numFmtId="3" fontId="4" fillId="24" borderId="13" xfId="53" applyNumberFormat="1" applyFont="1" applyFill="1" applyBorder="1" applyAlignment="1">
      <alignment horizontal="right" vertical="center" wrapText="1"/>
      <protection/>
    </xf>
    <xf numFmtId="3" fontId="8" fillId="24" borderId="0" xfId="53" applyNumberFormat="1" applyFont="1" applyFill="1" applyAlignment="1">
      <alignment horizontal="right" vertical="center"/>
      <protection/>
    </xf>
    <xf numFmtId="3" fontId="12" fillId="24" borderId="0" xfId="53" applyNumberFormat="1" applyFont="1" applyFill="1" applyBorder="1" applyAlignment="1">
      <alignment vertical="center"/>
      <protection/>
    </xf>
    <xf numFmtId="3" fontId="31" fillId="24" borderId="0" xfId="53" applyNumberFormat="1" applyFont="1" applyFill="1" applyBorder="1" applyAlignment="1">
      <alignment vertical="center"/>
      <protection/>
    </xf>
    <xf numFmtId="3" fontId="4" fillId="24" borderId="0" xfId="53" applyNumberFormat="1" applyFont="1" applyFill="1" applyBorder="1" applyAlignment="1">
      <alignment horizontal="right" vertical="center"/>
      <protection/>
    </xf>
    <xf numFmtId="3" fontId="31" fillId="24" borderId="0" xfId="53" applyNumberFormat="1" applyFont="1" applyFill="1" applyAlignment="1">
      <alignment vertical="center"/>
      <protection/>
    </xf>
    <xf numFmtId="3" fontId="12" fillId="24" borderId="0" xfId="50" applyNumberFormat="1" applyFont="1" applyFill="1" applyAlignment="1">
      <alignment vertical="center"/>
      <protection/>
    </xf>
    <xf numFmtId="3" fontId="4" fillId="24" borderId="0" xfId="50" applyNumberFormat="1" applyFont="1" applyFill="1" applyBorder="1" applyAlignment="1">
      <alignment horizontal="center" vertical="center"/>
      <protection/>
    </xf>
    <xf numFmtId="3" fontId="32" fillId="24" borderId="0" xfId="53" applyNumberFormat="1" applyFont="1" applyFill="1" applyAlignment="1">
      <alignment vertical="center"/>
      <protection/>
    </xf>
    <xf numFmtId="3" fontId="12" fillId="24" borderId="13" xfId="53" applyNumberFormat="1" applyFont="1" applyFill="1" applyBorder="1" applyAlignment="1">
      <alignment horizontal="right" vertical="center"/>
      <protection/>
    </xf>
    <xf numFmtId="3" fontId="12" fillId="24" borderId="0" xfId="50" applyNumberFormat="1" applyFont="1" applyFill="1" applyBorder="1" applyAlignment="1">
      <alignment vertical="center"/>
      <protection/>
    </xf>
    <xf numFmtId="3" fontId="12" fillId="24" borderId="0" xfId="50" applyNumberFormat="1" applyFont="1" applyFill="1" applyBorder="1" applyAlignment="1">
      <alignment horizontal="center" vertical="center"/>
      <protection/>
    </xf>
    <xf numFmtId="3" fontId="4" fillId="24" borderId="23" xfId="50" applyNumberFormat="1" applyFont="1" applyFill="1" applyBorder="1" applyAlignment="1">
      <alignment horizontal="right" vertical="center"/>
      <protection/>
    </xf>
    <xf numFmtId="3" fontId="14" fillId="24" borderId="0" xfId="50" applyNumberFormat="1" applyFont="1" applyFill="1" applyBorder="1" applyAlignment="1">
      <alignment horizontal="right" vertical="center"/>
      <protection/>
    </xf>
    <xf numFmtId="3" fontId="4" fillId="24" borderId="0" xfId="50" applyNumberFormat="1" applyFont="1" applyFill="1" applyBorder="1" applyAlignment="1">
      <alignment horizontal="right" vertical="center"/>
      <protection/>
    </xf>
    <xf numFmtId="49" fontId="8" fillId="24" borderId="0" xfId="54" applyNumberFormat="1" applyFont="1" applyFill="1" applyAlignment="1">
      <alignment horizontal="center" vertical="center"/>
      <protection/>
    </xf>
    <xf numFmtId="0" fontId="5" fillId="24" borderId="0" xfId="54" applyFont="1" applyFill="1" applyAlignment="1">
      <alignment vertical="center"/>
      <protection/>
    </xf>
    <xf numFmtId="3" fontId="34" fillId="24" borderId="0" xfId="53" applyNumberFormat="1" applyFont="1" applyFill="1" applyAlignment="1">
      <alignment horizontal="center" vertical="center"/>
      <protection/>
    </xf>
    <xf numFmtId="3" fontId="4" fillId="24" borderId="13" xfId="53" applyNumberFormat="1" applyFont="1" applyFill="1" applyBorder="1" applyAlignment="1">
      <alignment horizontal="center" vertical="center"/>
      <protection/>
    </xf>
    <xf numFmtId="0" fontId="8" fillId="24" borderId="0" xfId="50" applyFont="1" applyFill="1" applyAlignment="1">
      <alignment vertical="center" wrapText="1"/>
      <protection/>
    </xf>
    <xf numFmtId="3" fontId="9" fillId="24" borderId="13" xfId="50" applyNumberFormat="1" applyFont="1" applyFill="1" applyBorder="1" applyAlignment="1">
      <alignment horizontal="left" vertical="center"/>
      <protection/>
    </xf>
    <xf numFmtId="1" fontId="5" fillId="24" borderId="0" xfId="54" applyNumberFormat="1" applyFont="1" applyFill="1" applyAlignment="1">
      <alignment horizontal="right" vertical="center"/>
      <protection/>
    </xf>
    <xf numFmtId="49" fontId="5" fillId="24" borderId="0" xfId="53" applyNumberFormat="1" applyFont="1" applyFill="1" applyAlignment="1">
      <alignment horizontal="center" vertical="center"/>
      <protection/>
    </xf>
    <xf numFmtId="3" fontId="4" fillId="24" borderId="13" xfId="53" applyNumberFormat="1" applyFont="1" applyFill="1" applyBorder="1" applyAlignment="1">
      <alignment horizontal="center" vertical="center" wrapText="1"/>
      <protection/>
    </xf>
    <xf numFmtId="3" fontId="18" fillId="24" borderId="0" xfId="52" applyNumberFormat="1" applyFont="1" applyFill="1" applyBorder="1" applyAlignment="1">
      <alignment horizontal="center" vertical="center" wrapText="1"/>
      <protection/>
    </xf>
    <xf numFmtId="3" fontId="13" fillId="24" borderId="23" xfId="53" applyNumberFormat="1" applyFont="1" applyFill="1" applyBorder="1" applyAlignment="1">
      <alignment vertical="center"/>
      <protection/>
    </xf>
    <xf numFmtId="3" fontId="13" fillId="24" borderId="23" xfId="53" applyNumberFormat="1" applyFont="1" applyFill="1" applyBorder="1" applyAlignment="1">
      <alignment vertical="center" wrapText="1"/>
      <protection/>
    </xf>
    <xf numFmtId="3" fontId="7" fillId="24" borderId="23" xfId="54" applyNumberFormat="1" applyFont="1" applyFill="1" applyBorder="1" applyAlignment="1">
      <alignment vertical="center"/>
      <protection/>
    </xf>
    <xf numFmtId="3" fontId="4" fillId="24" borderId="23" xfId="53" applyNumberFormat="1" applyFont="1" applyFill="1" applyBorder="1" applyAlignment="1">
      <alignment horizontal="center" vertical="center"/>
      <protection/>
    </xf>
    <xf numFmtId="3" fontId="12" fillId="24" borderId="23" xfId="53" applyNumberFormat="1" applyFont="1" applyFill="1" applyBorder="1" applyAlignment="1">
      <alignment horizontal="center" vertical="center" wrapText="1"/>
      <protection/>
    </xf>
    <xf numFmtId="3" fontId="4" fillId="24" borderId="0" xfId="53" applyNumberFormat="1" applyFont="1" applyFill="1" applyBorder="1" applyAlignment="1">
      <alignment horizontal="right" vertical="center" wrapText="1"/>
      <protection/>
    </xf>
    <xf numFmtId="0" fontId="5" fillId="24" borderId="0" xfId="52" applyFont="1" applyFill="1" applyBorder="1" applyAlignment="1">
      <alignment vertical="center"/>
      <protection/>
    </xf>
    <xf numFmtId="3" fontId="8" fillId="24" borderId="0" xfId="54" applyNumberFormat="1" applyFont="1" applyFill="1" applyBorder="1" applyAlignment="1">
      <alignment horizontal="right" vertical="center"/>
      <protection/>
    </xf>
    <xf numFmtId="3" fontId="9" fillId="24" borderId="0" xfId="50" applyNumberFormat="1" applyFont="1" applyFill="1" applyBorder="1" applyAlignment="1">
      <alignment horizontal="left" vertical="center"/>
      <protection/>
    </xf>
    <xf numFmtId="3" fontId="12" fillId="24" borderId="0" xfId="52" applyNumberFormat="1" applyFont="1" applyFill="1" applyBorder="1" applyAlignment="1">
      <alignment horizontal="center" vertical="center"/>
      <protection/>
    </xf>
    <xf numFmtId="3" fontId="13" fillId="24" borderId="0" xfId="52" applyNumberFormat="1" applyFont="1" applyFill="1" applyBorder="1" applyAlignment="1">
      <alignment horizontal="center" vertical="center"/>
      <protection/>
    </xf>
    <xf numFmtId="3" fontId="9" fillId="24" borderId="0" xfId="52" applyNumberFormat="1" applyFont="1" applyFill="1" applyBorder="1" applyAlignment="1">
      <alignment horizontal="left" vertical="center"/>
      <protection/>
    </xf>
    <xf numFmtId="3" fontId="7" fillId="24" borderId="0" xfId="52" applyNumberFormat="1" applyFont="1" applyFill="1" applyBorder="1" applyAlignment="1">
      <alignment horizontal="right" vertical="center"/>
      <protection/>
    </xf>
    <xf numFmtId="3" fontId="8" fillId="24" borderId="0" xfId="52" applyNumberFormat="1" applyFont="1" applyFill="1" applyBorder="1" applyAlignment="1">
      <alignment vertical="center"/>
      <protection/>
    </xf>
    <xf numFmtId="3" fontId="12" fillId="24" borderId="13" xfId="53" applyNumberFormat="1" applyFont="1" applyFill="1" applyBorder="1" applyAlignment="1">
      <alignment vertical="center" wrapText="1"/>
      <protection/>
    </xf>
    <xf numFmtId="3" fontId="12" fillId="24" borderId="13" xfId="53" applyNumberFormat="1" applyFont="1" applyFill="1" applyBorder="1" applyAlignment="1">
      <alignment horizontal="left" vertical="center" wrapText="1"/>
      <protection/>
    </xf>
    <xf numFmtId="3" fontId="12" fillId="24" borderId="13" xfId="53" applyNumberFormat="1" applyFont="1" applyFill="1" applyBorder="1" applyAlignment="1">
      <alignment vertical="center"/>
      <protection/>
    </xf>
    <xf numFmtId="3" fontId="30" fillId="24" borderId="0" xfId="52" applyNumberFormat="1" applyFont="1" applyFill="1" applyBorder="1" applyAlignment="1">
      <alignment horizontal="center" vertical="center"/>
      <protection/>
    </xf>
    <xf numFmtId="3" fontId="30" fillId="24" borderId="15" xfId="52" applyNumberFormat="1" applyFont="1" applyFill="1" applyBorder="1" applyAlignment="1">
      <alignment horizontal="center" vertical="center"/>
      <protection/>
    </xf>
    <xf numFmtId="3" fontId="30" fillId="24" borderId="17" xfId="52" applyNumberFormat="1" applyFont="1" applyFill="1" applyBorder="1" applyAlignment="1">
      <alignment horizontal="center" vertical="center"/>
      <protection/>
    </xf>
    <xf numFmtId="3" fontId="13" fillId="24" borderId="11" xfId="52" applyNumberFormat="1" applyFont="1" applyFill="1" applyBorder="1" applyAlignment="1">
      <alignment horizontal="center" vertical="center"/>
      <protection/>
    </xf>
    <xf numFmtId="3" fontId="7" fillId="24" borderId="17" xfId="52" applyNumberFormat="1" applyFont="1" applyFill="1" applyBorder="1" applyAlignment="1">
      <alignment horizontal="center" vertical="center"/>
      <protection/>
    </xf>
    <xf numFmtId="0" fontId="13" fillId="24" borderId="0" xfId="0" applyFont="1" applyFill="1" applyAlignment="1">
      <alignment horizontal="left" vertical="center"/>
    </xf>
    <xf numFmtId="0" fontId="11" fillId="24" borderId="0" xfId="54" applyFont="1" applyFill="1" applyAlignment="1">
      <alignment horizontal="center" vertical="center"/>
      <protection/>
    </xf>
    <xf numFmtId="3" fontId="18" fillId="24" borderId="0" xfId="52" applyNumberFormat="1" applyFont="1" applyFill="1" applyBorder="1" applyAlignment="1">
      <alignment horizontal="left" vertical="center"/>
      <protection/>
    </xf>
    <xf numFmtId="3" fontId="13" fillId="24" borderId="0" xfId="52" applyNumberFormat="1" applyFont="1" applyFill="1" applyBorder="1" applyAlignment="1">
      <alignment horizontal="left" vertical="center" wrapText="1"/>
      <protection/>
    </xf>
    <xf numFmtId="3" fontId="13" fillId="24" borderId="0" xfId="52" applyNumberFormat="1" applyFont="1" applyFill="1" applyBorder="1" applyAlignment="1">
      <alignment horizontal="center" vertical="center" wrapText="1"/>
      <protection/>
    </xf>
    <xf numFmtId="49" fontId="37" fillId="24" borderId="0" xfId="52" applyNumberFormat="1" applyFont="1" applyFill="1" applyBorder="1" applyAlignment="1">
      <alignment horizontal="center" vertical="center" wrapText="1"/>
      <protection/>
    </xf>
    <xf numFmtId="3" fontId="9" fillId="24" borderId="0" xfId="50" applyNumberFormat="1" applyFont="1" applyFill="1" applyBorder="1" applyAlignment="1">
      <alignment horizontal="right" vertical="center"/>
      <protection/>
    </xf>
    <xf numFmtId="3" fontId="59" fillId="24" borderId="0" xfId="52" applyNumberFormat="1" applyFont="1" applyFill="1" applyBorder="1" applyAlignment="1">
      <alignment horizontal="center" vertical="center"/>
      <protection/>
    </xf>
    <xf numFmtId="3" fontId="60" fillId="24" borderId="0" xfId="52" applyNumberFormat="1" applyFont="1" applyFill="1" applyBorder="1" applyAlignment="1">
      <alignment vertical="center"/>
      <protection/>
    </xf>
    <xf numFmtId="49" fontId="8" fillId="24" borderId="0" xfId="52" applyNumberFormat="1" applyFont="1" applyFill="1" applyBorder="1" applyAlignment="1">
      <alignment horizontal="left" vertical="center" wrapText="1"/>
      <protection/>
    </xf>
    <xf numFmtId="3" fontId="14" fillId="24" borderId="0" xfId="53" applyNumberFormat="1" applyFont="1" applyFill="1" applyBorder="1" applyAlignment="1">
      <alignment horizontal="center" vertical="center" wrapText="1"/>
      <protection/>
    </xf>
    <xf numFmtId="3" fontId="12" fillId="24" borderId="0" xfId="53" applyNumberFormat="1" applyFont="1" applyFill="1" applyBorder="1" applyAlignment="1">
      <alignment horizontal="left" vertical="center" wrapText="1"/>
      <protection/>
    </xf>
    <xf numFmtId="0" fontId="7" fillId="0" borderId="0" xfId="54" applyFont="1" applyFill="1" applyAlignment="1">
      <alignment vertical="center"/>
      <protection/>
    </xf>
    <xf numFmtId="0" fontId="13" fillId="0" borderId="0" xfId="54" applyFont="1" applyFill="1" applyAlignment="1">
      <alignment vertical="center"/>
      <protection/>
    </xf>
    <xf numFmtId="3" fontId="4" fillId="0" borderId="0" xfId="53" applyNumberFormat="1" applyFont="1" applyFill="1" applyBorder="1" applyAlignment="1">
      <alignment horizontal="center" vertical="center"/>
      <protection/>
    </xf>
    <xf numFmtId="0" fontId="61" fillId="24" borderId="0" xfId="54" applyFont="1" applyFill="1" applyAlignment="1">
      <alignment vertical="center"/>
      <protection/>
    </xf>
    <xf numFmtId="0" fontId="62" fillId="24" borderId="0" xfId="54" applyFont="1" applyFill="1" applyAlignment="1">
      <alignment vertical="center"/>
      <protection/>
    </xf>
    <xf numFmtId="3" fontId="61" fillId="24" borderId="0" xfId="53" applyNumberFormat="1" applyFont="1" applyFill="1" applyAlignment="1">
      <alignment vertical="center"/>
      <protection/>
    </xf>
    <xf numFmtId="3" fontId="61" fillId="24" borderId="0" xfId="53" applyNumberFormat="1" applyFont="1" applyFill="1" applyAlignment="1">
      <alignment horizontal="center" vertical="center"/>
      <protection/>
    </xf>
    <xf numFmtId="3" fontId="11" fillId="24" borderId="0" xfId="52" applyNumberFormat="1" applyFont="1" applyFill="1" applyBorder="1" applyAlignment="1">
      <alignment horizontal="center" vertical="center"/>
      <protection/>
    </xf>
    <xf numFmtId="3" fontId="5" fillId="24" borderId="0" xfId="52" applyNumberFormat="1" applyFont="1" applyFill="1" applyBorder="1" applyAlignment="1">
      <alignment horizontal="center" vertical="center"/>
      <protection/>
    </xf>
    <xf numFmtId="44" fontId="13" fillId="24" borderId="0" xfId="44" applyFont="1" applyFill="1" applyBorder="1" applyAlignment="1">
      <alignment horizontal="center" vertical="center"/>
    </xf>
    <xf numFmtId="0" fontId="23" fillId="24" borderId="0" xfId="0" applyFont="1" applyFill="1" applyAlignment="1">
      <alignment horizontal="center" vertical="center"/>
    </xf>
    <xf numFmtId="3" fontId="40" fillId="24" borderId="0" xfId="0" applyNumberFormat="1" applyFont="1" applyFill="1" applyAlignment="1">
      <alignment horizontal="right" vertical="center"/>
    </xf>
    <xf numFmtId="172" fontId="8" fillId="24" borderId="0" xfId="54" applyNumberFormat="1" applyFont="1" applyFill="1" applyAlignment="1">
      <alignment vertical="center"/>
      <protection/>
    </xf>
    <xf numFmtId="3" fontId="63" fillId="24" borderId="0" xfId="53" applyNumberFormat="1" applyFont="1" applyFill="1" applyBorder="1" applyAlignment="1">
      <alignment vertical="center"/>
      <protection/>
    </xf>
    <xf numFmtId="3" fontId="59" fillId="24" borderId="0" xfId="52" applyNumberFormat="1" applyFont="1" applyFill="1" applyAlignment="1">
      <alignment vertical="center"/>
      <protection/>
    </xf>
    <xf numFmtId="0" fontId="41" fillId="24" borderId="13" xfId="0" applyFont="1" applyFill="1" applyBorder="1" applyAlignment="1">
      <alignment horizontal="left" vertical="center" wrapText="1"/>
    </xf>
    <xf numFmtId="3" fontId="12" fillId="0" borderId="23" xfId="53" applyNumberFormat="1" applyFont="1" applyFill="1" applyBorder="1" applyAlignment="1">
      <alignment horizontal="center" vertical="center" wrapText="1"/>
      <protection/>
    </xf>
    <xf numFmtId="0" fontId="39" fillId="24" borderId="23" xfId="0" applyFont="1" applyFill="1" applyBorder="1" applyAlignment="1">
      <alignment horizontal="left" vertical="center" wrapText="1"/>
    </xf>
    <xf numFmtId="3" fontId="7" fillId="24" borderId="23" xfId="53" applyNumberFormat="1" applyFont="1" applyFill="1" applyBorder="1" applyAlignment="1">
      <alignment horizontal="center" vertical="center" wrapText="1"/>
      <protection/>
    </xf>
    <xf numFmtId="3" fontId="7" fillId="24" borderId="23" xfId="53" applyNumberFormat="1" applyFont="1" applyFill="1" applyBorder="1" applyAlignment="1">
      <alignment horizontal="center" vertical="center"/>
      <protection/>
    </xf>
    <xf numFmtId="3" fontId="7" fillId="24" borderId="23" xfId="53" applyNumberFormat="1" applyFont="1" applyFill="1" applyBorder="1" applyAlignment="1">
      <alignment horizontal="right" vertical="center"/>
      <protection/>
    </xf>
    <xf numFmtId="3" fontId="4" fillId="24" borderId="13" xfId="53" applyNumberFormat="1" applyFont="1" applyFill="1" applyBorder="1" applyAlignment="1">
      <alignment vertical="center"/>
      <protection/>
    </xf>
    <xf numFmtId="3" fontId="4" fillId="24" borderId="13" xfId="53" applyNumberFormat="1" applyFont="1" applyFill="1" applyBorder="1" applyAlignment="1">
      <alignment vertical="center" wrapText="1"/>
      <protection/>
    </xf>
    <xf numFmtId="3" fontId="9" fillId="24" borderId="13" xfId="50" applyNumberFormat="1" applyFont="1" applyFill="1" applyBorder="1" applyAlignment="1">
      <alignment horizontal="right" vertical="center"/>
      <protection/>
    </xf>
    <xf numFmtId="3" fontId="62" fillId="24" borderId="0" xfId="52" applyNumberFormat="1" applyFont="1" applyFill="1" applyBorder="1" applyAlignment="1">
      <alignment vertical="center"/>
      <protection/>
    </xf>
    <xf numFmtId="3" fontId="17" fillId="25" borderId="0" xfId="0" applyNumberFormat="1" applyFont="1" applyFill="1" applyAlignment="1">
      <alignment vertical="center"/>
    </xf>
    <xf numFmtId="3" fontId="5" fillId="24" borderId="0" xfId="52" applyNumberFormat="1" applyFont="1" applyFill="1" applyBorder="1" applyAlignment="1">
      <alignment vertical="center" wrapText="1"/>
      <protection/>
    </xf>
    <xf numFmtId="3" fontId="5" fillId="24" borderId="0" xfId="52" applyNumberFormat="1" applyFont="1" applyFill="1" applyBorder="1" applyAlignment="1">
      <alignment horizontal="left" vertical="center" wrapText="1"/>
      <protection/>
    </xf>
    <xf numFmtId="3" fontId="64" fillId="24" borderId="0" xfId="52" applyNumberFormat="1" applyFont="1" applyFill="1" applyBorder="1" applyAlignment="1">
      <alignment horizontal="center" vertical="center"/>
      <protection/>
    </xf>
    <xf numFmtId="0" fontId="13" fillId="24" borderId="0" xfId="0" applyFont="1" applyFill="1" applyBorder="1" applyAlignment="1">
      <alignment horizontal="center" vertical="center"/>
    </xf>
    <xf numFmtId="3" fontId="7" fillId="24" borderId="0" xfId="50" applyNumberFormat="1" applyFont="1" applyFill="1" applyBorder="1" applyAlignment="1">
      <alignment horizontal="center" vertical="center"/>
      <protection/>
    </xf>
    <xf numFmtId="3" fontId="7" fillId="24" borderId="23" xfId="54" applyNumberFormat="1" applyFont="1" applyFill="1" applyBorder="1" applyAlignment="1">
      <alignment horizontal="right" vertical="center" wrapText="1"/>
      <protection/>
    </xf>
    <xf numFmtId="3" fontId="28" fillId="24" borderId="0" xfId="54" applyNumberFormat="1" applyFont="1" applyFill="1" applyBorder="1" applyAlignment="1">
      <alignment horizontal="right" vertical="center" wrapText="1"/>
      <protection/>
    </xf>
    <xf numFmtId="3" fontId="60" fillId="24" borderId="0" xfId="52" applyNumberFormat="1" applyFont="1" applyFill="1" applyBorder="1" applyAlignment="1">
      <alignment horizontal="center" vertical="center"/>
      <protection/>
    </xf>
    <xf numFmtId="3" fontId="7" fillId="24" borderId="0" xfId="53" applyNumberFormat="1" applyFont="1" applyFill="1" applyBorder="1" applyAlignment="1">
      <alignment horizontal="right" vertical="center"/>
      <protection/>
    </xf>
    <xf numFmtId="3" fontId="28" fillId="24" borderId="0" xfId="52" applyNumberFormat="1" applyFont="1" applyFill="1" applyBorder="1" applyAlignment="1">
      <alignment horizontal="left" vertical="center"/>
      <protection/>
    </xf>
    <xf numFmtId="3" fontId="14" fillId="24" borderId="0" xfId="52" applyNumberFormat="1" applyFont="1" applyFill="1" applyBorder="1" applyAlignment="1">
      <alignment horizontal="left" vertical="center" wrapText="1"/>
      <protection/>
    </xf>
    <xf numFmtId="3" fontId="0" fillId="0" borderId="0" xfId="0" applyNumberFormat="1" applyAlignment="1">
      <alignment/>
    </xf>
    <xf numFmtId="3" fontId="65" fillId="0" borderId="0" xfId="0" applyNumberFormat="1" applyFont="1" applyAlignment="1">
      <alignment/>
    </xf>
    <xf numFmtId="1" fontId="13" fillId="24" borderId="0" xfId="52" applyNumberFormat="1" applyFont="1" applyFill="1" applyBorder="1" applyAlignment="1">
      <alignment vertical="center"/>
      <protection/>
    </xf>
    <xf numFmtId="9" fontId="13" fillId="24" borderId="0" xfId="0" applyNumberFormat="1" applyFont="1" applyFill="1" applyBorder="1" applyAlignment="1">
      <alignment vertical="center"/>
    </xf>
    <xf numFmtId="0" fontId="8" fillId="24" borderId="0" xfId="52" applyNumberFormat="1" applyFont="1" applyFill="1" applyBorder="1" applyAlignment="1">
      <alignment vertical="center"/>
      <protection/>
    </xf>
    <xf numFmtId="0" fontId="7" fillId="24" borderId="0" xfId="52" applyNumberFormat="1" applyFont="1" applyFill="1" applyBorder="1" applyAlignment="1">
      <alignment horizontal="center" vertical="center"/>
      <protection/>
    </xf>
    <xf numFmtId="3" fontId="8" fillId="24" borderId="13" xfId="53" applyNumberFormat="1" applyFont="1" applyFill="1" applyBorder="1" applyAlignment="1">
      <alignment vertical="center"/>
      <protection/>
    </xf>
    <xf numFmtId="3" fontId="8" fillId="24" borderId="13" xfId="53" applyNumberFormat="1" applyFont="1" applyFill="1" applyBorder="1" applyAlignment="1">
      <alignment vertical="center" wrapText="1"/>
      <protection/>
    </xf>
    <xf numFmtId="3" fontId="9" fillId="24" borderId="13" xfId="54" applyNumberFormat="1" applyFont="1" applyFill="1" applyBorder="1" applyAlignment="1">
      <alignment vertical="center"/>
      <protection/>
    </xf>
    <xf numFmtId="49" fontId="38" fillId="24" borderId="0" xfId="53" applyNumberFormat="1" applyFont="1" applyFill="1" applyBorder="1" applyAlignment="1">
      <alignment horizontal="center" vertical="center"/>
      <protection/>
    </xf>
    <xf numFmtId="0" fontId="13" fillId="24" borderId="13" xfId="0" applyFont="1" applyFill="1" applyBorder="1" applyAlignment="1">
      <alignment horizontal="left" vertical="center" wrapText="1"/>
    </xf>
    <xf numFmtId="3" fontId="13" fillId="24" borderId="13" xfId="0" applyNumberFormat="1" applyFont="1" applyFill="1" applyBorder="1" applyAlignment="1">
      <alignment horizontal="right" vertical="center" wrapText="1"/>
    </xf>
    <xf numFmtId="3" fontId="13" fillId="24" borderId="13" xfId="54" applyNumberFormat="1" applyFont="1" applyFill="1" applyBorder="1" applyAlignment="1">
      <alignment horizontal="right" vertical="center" wrapText="1"/>
      <protection/>
    </xf>
    <xf numFmtId="3" fontId="13" fillId="24" borderId="13" xfId="54" applyNumberFormat="1" applyFont="1" applyFill="1" applyBorder="1" applyAlignment="1">
      <alignment vertical="center" wrapText="1"/>
      <protection/>
    </xf>
    <xf numFmtId="3" fontId="7" fillId="24" borderId="13" xfId="54" applyNumberFormat="1" applyFont="1" applyFill="1" applyBorder="1" applyAlignment="1">
      <alignment horizontal="right" vertical="center" wrapText="1"/>
      <protection/>
    </xf>
    <xf numFmtId="0" fontId="5" fillId="24" borderId="13" xfId="54" applyNumberFormat="1" applyFont="1" applyFill="1" applyBorder="1" applyAlignment="1">
      <alignment horizontal="center" vertical="center" wrapText="1"/>
      <protection/>
    </xf>
    <xf numFmtId="3" fontId="28" fillId="24" borderId="0" xfId="52" applyNumberFormat="1" applyFont="1" applyFill="1" applyBorder="1" applyAlignment="1">
      <alignment horizontal="left" vertical="center" wrapText="1"/>
      <protection/>
    </xf>
    <xf numFmtId="3" fontId="12" fillId="24" borderId="0" xfId="54" applyNumberFormat="1" applyFont="1" applyFill="1" applyAlignment="1">
      <alignment vertical="center"/>
      <protection/>
    </xf>
    <xf numFmtId="3" fontId="7" fillId="24" borderId="23" xfId="50" applyNumberFormat="1" applyFont="1" applyFill="1" applyBorder="1" applyAlignment="1">
      <alignment horizontal="center" vertical="center"/>
      <protection/>
    </xf>
    <xf numFmtId="0" fontId="13" fillId="24" borderId="0" xfId="54" applyFont="1" applyFill="1" applyBorder="1" applyAlignment="1">
      <alignment vertical="center"/>
      <protection/>
    </xf>
    <xf numFmtId="0" fontId="13" fillId="24" borderId="0" xfId="50" applyFont="1" applyFill="1" applyAlignment="1">
      <alignment horizontal="center" vertical="center"/>
      <protection/>
    </xf>
    <xf numFmtId="0" fontId="13" fillId="24" borderId="0" xfId="50" applyFont="1" applyFill="1" applyAlignment="1">
      <alignment vertical="center"/>
      <protection/>
    </xf>
    <xf numFmtId="0" fontId="7" fillId="24" borderId="0" xfId="50" applyFont="1" applyFill="1" applyAlignment="1">
      <alignment vertical="center"/>
      <protection/>
    </xf>
    <xf numFmtId="1" fontId="13" fillId="24" borderId="0" xfId="54" applyNumberFormat="1" applyFont="1" applyFill="1" applyBorder="1" applyAlignment="1">
      <alignment horizontal="center" vertical="center" wrapText="1"/>
      <protection/>
    </xf>
    <xf numFmtId="0" fontId="13" fillId="24" borderId="0" xfId="54" applyFont="1" applyFill="1" applyBorder="1" applyAlignment="1">
      <alignment horizontal="left" vertical="center" wrapText="1"/>
      <protection/>
    </xf>
    <xf numFmtId="3" fontId="7" fillId="24" borderId="23" xfId="54" applyNumberFormat="1" applyFont="1" applyFill="1" applyBorder="1" applyAlignment="1">
      <alignment vertical="center" wrapText="1"/>
      <protection/>
    </xf>
    <xf numFmtId="3" fontId="7" fillId="24" borderId="0" xfId="54" applyNumberFormat="1" applyFont="1" applyFill="1" applyBorder="1" applyAlignment="1">
      <alignment vertical="center" wrapText="1"/>
      <protection/>
    </xf>
    <xf numFmtId="0" fontId="14" fillId="24" borderId="0" xfId="54" applyFont="1" applyFill="1" applyAlignment="1">
      <alignment horizontal="center" vertical="center"/>
      <protection/>
    </xf>
    <xf numFmtId="0" fontId="14" fillId="24" borderId="13" xfId="54" applyFont="1" applyFill="1" applyBorder="1" applyAlignment="1">
      <alignment horizontal="center" vertical="center" wrapText="1"/>
      <protection/>
    </xf>
    <xf numFmtId="0" fontId="12" fillId="25" borderId="0" xfId="54" applyFont="1" applyFill="1" applyAlignment="1">
      <alignment vertical="center"/>
      <protection/>
    </xf>
    <xf numFmtId="0" fontId="41" fillId="24" borderId="0" xfId="54" applyFont="1" applyFill="1" applyAlignment="1">
      <alignment vertical="center"/>
      <protection/>
    </xf>
    <xf numFmtId="3" fontId="12" fillId="24" borderId="0" xfId="52" applyNumberFormat="1" applyFont="1" applyFill="1" applyBorder="1" applyAlignment="1">
      <alignment vertical="center"/>
      <protection/>
    </xf>
    <xf numFmtId="3" fontId="15" fillId="24" borderId="17" xfId="52" applyNumberFormat="1" applyFont="1" applyFill="1" applyBorder="1" applyAlignment="1">
      <alignment horizontal="center" vertical="center"/>
      <protection/>
    </xf>
    <xf numFmtId="3" fontId="7" fillId="24" borderId="0" xfId="53" applyNumberFormat="1" applyFont="1" applyFill="1" applyBorder="1" applyAlignment="1">
      <alignment horizontal="left" vertical="center"/>
      <protection/>
    </xf>
    <xf numFmtId="3" fontId="13" fillId="24" borderId="0" xfId="50" applyNumberFormat="1" applyFont="1" applyFill="1" applyBorder="1" applyAlignment="1">
      <alignment horizontal="left" vertical="center"/>
      <protection/>
    </xf>
    <xf numFmtId="0" fontId="8" fillId="24" borderId="0" xfId="54" applyFont="1" applyFill="1" applyAlignment="1">
      <alignment/>
      <protection/>
    </xf>
    <xf numFmtId="3" fontId="12" fillId="24" borderId="0" xfId="52" applyNumberFormat="1" applyFont="1" applyFill="1" applyBorder="1" applyAlignment="1">
      <alignment horizontal="center"/>
      <protection/>
    </xf>
    <xf numFmtId="3" fontId="12" fillId="24" borderId="15" xfId="53" applyNumberFormat="1" applyFont="1" applyFill="1" applyBorder="1" applyAlignment="1">
      <alignment vertical="center"/>
      <protection/>
    </xf>
    <xf numFmtId="3" fontId="4" fillId="24" borderId="13" xfId="53" applyNumberFormat="1" applyFont="1" applyFill="1" applyBorder="1" applyAlignment="1">
      <alignment horizontal="right" vertical="center"/>
      <protection/>
    </xf>
    <xf numFmtId="0" fontId="7" fillId="24" borderId="0" xfId="54" applyFont="1" applyFill="1" applyBorder="1" applyAlignment="1">
      <alignment horizontal="left" vertical="center"/>
      <protection/>
    </xf>
    <xf numFmtId="3" fontId="66" fillId="24" borderId="0" xfId="0" applyNumberFormat="1" applyFont="1" applyFill="1" applyAlignment="1">
      <alignment horizontal="right" vertical="center"/>
    </xf>
    <xf numFmtId="44" fontId="59" fillId="24" borderId="0" xfId="44" applyFont="1" applyFill="1" applyBorder="1" applyAlignment="1">
      <alignment horizontal="center" vertical="center"/>
    </xf>
    <xf numFmtId="3" fontId="19" fillId="24" borderId="0" xfId="52" applyNumberFormat="1" applyFont="1" applyFill="1" applyBorder="1" applyAlignment="1">
      <alignment horizontal="center" vertical="center"/>
      <protection/>
    </xf>
    <xf numFmtId="0" fontId="8" fillId="24" borderId="0" xfId="0" applyFont="1" applyFill="1" applyAlignment="1">
      <alignment vertical="center"/>
    </xf>
    <xf numFmtId="0" fontId="19" fillId="24" borderId="0" xfId="53" applyFont="1" applyFill="1" applyAlignment="1">
      <alignment horizontal="center" vertical="center"/>
      <protection/>
    </xf>
    <xf numFmtId="3" fontId="20" fillId="24" borderId="0" xfId="52" applyNumberFormat="1" applyFont="1" applyFill="1" applyAlignment="1">
      <alignment vertical="center"/>
      <protection/>
    </xf>
    <xf numFmtId="0" fontId="8" fillId="24" borderId="0" xfId="54" applyFont="1" applyFill="1" applyAlignment="1">
      <alignment horizontal="left" vertical="center"/>
      <protection/>
    </xf>
    <xf numFmtId="3" fontId="8" fillId="24" borderId="0" xfId="53" applyNumberFormat="1" applyFont="1" applyFill="1" applyAlignment="1">
      <alignment horizontal="center" vertical="center"/>
      <protection/>
    </xf>
    <xf numFmtId="3" fontId="61" fillId="24" borderId="0" xfId="52" applyNumberFormat="1" applyFont="1" applyFill="1" applyBorder="1" applyAlignment="1">
      <alignment horizontal="center" vertical="center"/>
      <protection/>
    </xf>
    <xf numFmtId="3" fontId="59" fillId="24" borderId="0" xfId="54" applyNumberFormat="1" applyFont="1" applyFill="1" applyAlignment="1">
      <alignment vertical="center"/>
      <protection/>
    </xf>
    <xf numFmtId="0" fontId="42" fillId="24" borderId="29" xfId="54" applyNumberFormat="1" applyFont="1" applyFill="1" applyBorder="1" applyAlignment="1">
      <alignment horizontal="center" vertical="center" wrapText="1"/>
      <protection/>
    </xf>
    <xf numFmtId="0" fontId="42" fillId="24" borderId="27" xfId="54" applyNumberFormat="1" applyFont="1" applyFill="1" applyBorder="1" applyAlignment="1">
      <alignment horizontal="center" vertical="center" wrapText="1"/>
      <protection/>
    </xf>
    <xf numFmtId="0" fontId="42" fillId="24" borderId="27" xfId="53" applyFont="1" applyFill="1" applyBorder="1" applyAlignment="1">
      <alignment horizontal="center" vertical="center" wrapText="1"/>
      <protection/>
    </xf>
    <xf numFmtId="3" fontId="16" fillId="24" borderId="27" xfId="52" applyNumberFormat="1" applyFont="1" applyFill="1" applyBorder="1" applyAlignment="1">
      <alignment horizontal="center" vertical="center" wrapText="1"/>
      <protection/>
    </xf>
    <xf numFmtId="3" fontId="42" fillId="24" borderId="27" xfId="54" applyNumberFormat="1" applyFont="1" applyFill="1" applyBorder="1" applyAlignment="1">
      <alignment horizontal="center" vertical="center" wrapText="1"/>
      <protection/>
    </xf>
    <xf numFmtId="3" fontId="42" fillId="24" borderId="27" xfId="52" applyNumberFormat="1" applyFont="1" applyFill="1" applyBorder="1" applyAlignment="1">
      <alignment horizontal="center" vertical="center" wrapText="1"/>
      <protection/>
    </xf>
    <xf numFmtId="3" fontId="42" fillId="24" borderId="30" xfId="54" applyNumberFormat="1" applyFont="1" applyFill="1" applyBorder="1" applyAlignment="1">
      <alignment horizontal="center" vertical="center" wrapText="1"/>
      <protection/>
    </xf>
    <xf numFmtId="3" fontId="59" fillId="24" borderId="0" xfId="52" applyNumberFormat="1" applyFont="1" applyFill="1" applyBorder="1" applyAlignment="1">
      <alignment horizontal="left" vertical="center"/>
      <protection/>
    </xf>
    <xf numFmtId="3" fontId="59" fillId="24" borderId="0" xfId="52" applyNumberFormat="1" applyFont="1" applyFill="1" applyBorder="1" applyAlignment="1">
      <alignment vertical="center"/>
      <protection/>
    </xf>
    <xf numFmtId="3" fontId="59" fillId="24" borderId="0" xfId="53" applyNumberFormat="1" applyFont="1" applyFill="1" applyAlignment="1">
      <alignment vertical="center"/>
      <protection/>
    </xf>
    <xf numFmtId="0" fontId="62" fillId="24" borderId="0" xfId="54" applyFont="1" applyFill="1" applyAlignment="1">
      <alignment horizontal="center" vertical="center"/>
      <protection/>
    </xf>
    <xf numFmtId="3" fontId="8" fillId="24" borderId="0" xfId="53" applyNumberFormat="1" applyFont="1" applyFill="1" applyAlignment="1">
      <alignment horizontal="left" vertical="center"/>
      <protection/>
    </xf>
    <xf numFmtId="3" fontId="61" fillId="24" borderId="0" xfId="52" applyNumberFormat="1" applyFont="1" applyFill="1" applyBorder="1" applyAlignment="1">
      <alignment vertical="center"/>
      <protection/>
    </xf>
    <xf numFmtId="0" fontId="28" fillId="24" borderId="13" xfId="54" applyFont="1" applyFill="1" applyBorder="1" applyAlignment="1">
      <alignment horizontal="center" vertical="center" wrapText="1"/>
      <protection/>
    </xf>
    <xf numFmtId="3" fontId="28" fillId="24" borderId="13" xfId="53" applyNumberFormat="1" applyFont="1" applyFill="1" applyBorder="1" applyAlignment="1">
      <alignment horizontal="center" vertical="center" wrapText="1"/>
      <protection/>
    </xf>
    <xf numFmtId="3" fontId="13" fillId="24" borderId="13" xfId="0" applyNumberFormat="1" applyFont="1" applyFill="1" applyBorder="1" applyAlignment="1">
      <alignment vertical="center" wrapText="1"/>
    </xf>
    <xf numFmtId="3" fontId="7" fillId="24" borderId="0" xfId="52" applyNumberFormat="1" applyFont="1" applyFill="1" applyBorder="1" applyAlignment="1">
      <alignment horizontal="left" vertical="center" wrapText="1"/>
      <protection/>
    </xf>
    <xf numFmtId="3" fontId="17" fillId="24" borderId="13" xfId="52" applyNumberFormat="1" applyFont="1" applyFill="1" applyBorder="1" applyAlignment="1">
      <alignment vertical="center"/>
      <protection/>
    </xf>
    <xf numFmtId="3" fontId="7" fillId="24" borderId="0" xfId="0" applyNumberFormat="1" applyFont="1" applyFill="1" applyBorder="1" applyAlignment="1">
      <alignment horizontal="left" vertical="center" wrapText="1"/>
    </xf>
    <xf numFmtId="3" fontId="13" fillId="24" borderId="10" xfId="0" applyNumberFormat="1" applyFont="1" applyFill="1" applyBorder="1" applyAlignment="1">
      <alignment vertical="center"/>
    </xf>
    <xf numFmtId="3" fontId="28" fillId="24" borderId="0" xfId="0" applyNumberFormat="1" applyFont="1" applyFill="1" applyBorder="1" applyAlignment="1">
      <alignment horizontal="left" vertical="center" wrapText="1"/>
    </xf>
    <xf numFmtId="3" fontId="8" fillId="24" borderId="13" xfId="53" applyNumberFormat="1" applyFont="1" applyFill="1" applyBorder="1" applyAlignment="1">
      <alignment horizontal="center" vertical="center" wrapText="1"/>
      <protection/>
    </xf>
    <xf numFmtId="3" fontId="28" fillId="24" borderId="13" xfId="53" applyNumberFormat="1" applyFont="1" applyFill="1" applyBorder="1" applyAlignment="1">
      <alignment horizontal="center" vertical="center" wrapText="1"/>
      <protection/>
    </xf>
    <xf numFmtId="3" fontId="13" fillId="24" borderId="23" xfId="54" applyNumberFormat="1" applyFont="1" applyFill="1" applyBorder="1" applyAlignment="1">
      <alignment horizontal="right" vertical="center" wrapText="1"/>
      <protection/>
    </xf>
    <xf numFmtId="0" fontId="13" fillId="24" borderId="13" xfId="54" applyNumberFormat="1" applyFont="1" applyFill="1" applyBorder="1" applyAlignment="1">
      <alignment horizontal="left" vertical="center" wrapText="1"/>
      <protection/>
    </xf>
    <xf numFmtId="0" fontId="28" fillId="24" borderId="13" xfId="54" applyNumberFormat="1" applyFont="1" applyFill="1" applyBorder="1" applyAlignment="1">
      <alignment horizontal="center" vertical="center" wrapText="1"/>
      <protection/>
    </xf>
    <xf numFmtId="0" fontId="39" fillId="24" borderId="13" xfId="0" applyFont="1" applyFill="1" applyBorder="1" applyAlignment="1">
      <alignment horizontal="left" vertical="center" wrapText="1"/>
    </xf>
    <xf numFmtId="3" fontId="13" fillId="24" borderId="13" xfId="54" applyNumberFormat="1" applyFont="1" applyFill="1" applyBorder="1" applyAlignment="1">
      <alignment horizontal="center" vertical="center" wrapText="1"/>
      <protection/>
    </xf>
    <xf numFmtId="3" fontId="13" fillId="24" borderId="13" xfId="0" applyNumberFormat="1" applyFont="1" applyFill="1" applyBorder="1" applyAlignment="1">
      <alignment horizontal="center" vertical="center" wrapText="1"/>
    </xf>
    <xf numFmtId="3" fontId="13" fillId="24" borderId="23" xfId="54" applyNumberFormat="1" applyFont="1" applyFill="1" applyBorder="1" applyAlignment="1">
      <alignment vertical="center" wrapText="1"/>
      <protection/>
    </xf>
    <xf numFmtId="3" fontId="8" fillId="24" borderId="13" xfId="54" applyNumberFormat="1" applyFont="1" applyFill="1" applyBorder="1" applyAlignment="1">
      <alignment vertical="center"/>
      <protection/>
    </xf>
    <xf numFmtId="3" fontId="5" fillId="24" borderId="0" xfId="53" applyNumberFormat="1" applyFont="1" applyFill="1" applyAlignment="1">
      <alignment horizontal="center" vertical="center" wrapText="1"/>
      <protection/>
    </xf>
    <xf numFmtId="0" fontId="33" fillId="24" borderId="0" xfId="53" applyFont="1" applyFill="1" applyAlignment="1">
      <alignment horizontal="center" vertical="center"/>
      <protection/>
    </xf>
    <xf numFmtId="3" fontId="9" fillId="24" borderId="23" xfId="53" applyNumberFormat="1" applyFont="1" applyFill="1" applyBorder="1" applyAlignment="1">
      <alignment horizontal="center" vertical="center"/>
      <protection/>
    </xf>
    <xf numFmtId="3" fontId="9" fillId="24" borderId="23" xfId="53" applyNumberFormat="1" applyFont="1" applyFill="1" applyBorder="1" applyAlignment="1">
      <alignment horizontal="right" vertical="center"/>
      <protection/>
    </xf>
    <xf numFmtId="3" fontId="12" fillId="24" borderId="23" xfId="51" applyNumberFormat="1" applyFont="1" applyFill="1" applyBorder="1" applyAlignment="1">
      <alignment horizontal="right" vertical="center" wrapText="1"/>
      <protection/>
    </xf>
    <xf numFmtId="3" fontId="12" fillId="24" borderId="23" xfId="53" applyNumberFormat="1" applyFont="1" applyFill="1" applyBorder="1" applyAlignment="1">
      <alignment horizontal="right" vertical="center"/>
      <protection/>
    </xf>
    <xf numFmtId="3" fontId="12" fillId="24" borderId="23" xfId="53" applyNumberFormat="1" applyFont="1" applyFill="1" applyBorder="1" applyAlignment="1">
      <alignment vertical="center"/>
      <protection/>
    </xf>
    <xf numFmtId="3" fontId="12" fillId="24" borderId="13" xfId="53" applyNumberFormat="1" applyFont="1" applyFill="1" applyBorder="1" applyAlignment="1">
      <alignment horizontal="center" vertical="center" wrapText="1"/>
      <protection/>
    </xf>
    <xf numFmtId="0" fontId="0" fillId="24" borderId="13" xfId="0" applyFont="1" applyFill="1" applyBorder="1" applyAlignment="1">
      <alignment horizontal="left" vertical="center" wrapText="1"/>
    </xf>
    <xf numFmtId="0" fontId="28" fillId="24" borderId="13" xfId="54" applyFont="1" applyFill="1" applyBorder="1" applyAlignment="1">
      <alignment horizontal="center" vertical="center" wrapText="1"/>
      <protection/>
    </xf>
    <xf numFmtId="3" fontId="18" fillId="24" borderId="13" xfId="53" applyNumberFormat="1" applyFont="1" applyFill="1" applyBorder="1" applyAlignment="1">
      <alignment horizontal="center" vertical="center" wrapText="1"/>
      <protection/>
    </xf>
    <xf numFmtId="3" fontId="14" fillId="24" borderId="0" xfId="53" applyNumberFormat="1" applyFont="1" applyFill="1" applyBorder="1" applyAlignment="1">
      <alignment horizontal="center" vertical="center"/>
      <protection/>
    </xf>
    <xf numFmtId="3" fontId="12" fillId="24" borderId="13" xfId="54" applyNumberFormat="1" applyFont="1" applyFill="1" applyBorder="1" applyAlignment="1">
      <alignment vertical="center"/>
      <protection/>
    </xf>
    <xf numFmtId="0" fontId="13" fillId="24" borderId="23" xfId="0" applyFont="1" applyFill="1" applyBorder="1" applyAlignment="1">
      <alignment horizontal="center" vertical="center"/>
    </xf>
    <xf numFmtId="3" fontId="13" fillId="24" borderId="13" xfId="53" applyNumberFormat="1" applyFont="1" applyFill="1" applyBorder="1" applyAlignment="1">
      <alignment vertical="center" wrapText="1"/>
      <protection/>
    </xf>
    <xf numFmtId="3" fontId="13" fillId="24" borderId="13" xfId="53" applyNumberFormat="1" applyFont="1" applyFill="1" applyBorder="1" applyAlignment="1">
      <alignment horizontal="right" vertical="center" wrapText="1"/>
      <protection/>
    </xf>
    <xf numFmtId="0" fontId="13" fillId="24" borderId="23" xfId="0" applyFont="1" applyFill="1" applyBorder="1" applyAlignment="1">
      <alignment horizontal="left" vertical="center" wrapText="1"/>
    </xf>
    <xf numFmtId="3" fontId="13" fillId="24" borderId="13" xfId="54" applyNumberFormat="1" applyFont="1" applyFill="1" applyBorder="1" applyAlignment="1">
      <alignment horizontal="right" vertical="center" wrapText="1"/>
      <protection/>
    </xf>
    <xf numFmtId="0" fontId="28" fillId="24" borderId="23" xfId="54" applyFont="1" applyFill="1" applyBorder="1" applyAlignment="1">
      <alignment horizontal="center" vertical="center" wrapText="1"/>
      <protection/>
    </xf>
    <xf numFmtId="3" fontId="7" fillId="24" borderId="0" xfId="52" applyNumberFormat="1" applyFont="1" applyFill="1" applyBorder="1" applyAlignment="1">
      <alignment vertical="center" wrapText="1"/>
      <protection/>
    </xf>
    <xf numFmtId="3" fontId="14" fillId="24" borderId="0" xfId="52" applyNumberFormat="1" applyFont="1" applyFill="1" applyBorder="1" applyAlignment="1">
      <alignment vertical="center" wrapText="1"/>
      <protection/>
    </xf>
    <xf numFmtId="0" fontId="13" fillId="24" borderId="13" xfId="0" applyFont="1" applyFill="1" applyBorder="1" applyAlignment="1">
      <alignment horizontal="center" vertical="center"/>
    </xf>
    <xf numFmtId="3" fontId="13" fillId="24" borderId="13" xfId="54" applyNumberFormat="1" applyFont="1" applyFill="1" applyBorder="1" applyAlignment="1">
      <alignment horizontal="right" vertical="center"/>
      <protection/>
    </xf>
    <xf numFmtId="3" fontId="13" fillId="24" borderId="23" xfId="0" applyNumberFormat="1" applyFont="1" applyFill="1" applyBorder="1" applyAlignment="1">
      <alignment horizontal="right" vertical="center" wrapText="1"/>
    </xf>
    <xf numFmtId="1" fontId="13" fillId="24" borderId="13" xfId="54" applyNumberFormat="1" applyFont="1" applyFill="1" applyBorder="1" applyAlignment="1">
      <alignment horizontal="left" vertical="center" wrapText="1"/>
      <protection/>
    </xf>
    <xf numFmtId="3" fontId="19" fillId="24" borderId="0" xfId="53" applyNumberFormat="1" applyFont="1" applyFill="1" applyAlignment="1">
      <alignment horizontal="center" vertical="center"/>
      <protection/>
    </xf>
    <xf numFmtId="0" fontId="41" fillId="24" borderId="13" xfId="0" applyFont="1" applyFill="1" applyBorder="1" applyAlignment="1">
      <alignment vertical="center" wrapText="1"/>
    </xf>
    <xf numFmtId="3" fontId="13" fillId="24" borderId="13" xfId="54" applyNumberFormat="1" applyFont="1" applyFill="1" applyBorder="1" applyAlignment="1">
      <alignment horizontal="left" vertical="center" wrapText="1"/>
      <protection/>
    </xf>
    <xf numFmtId="3" fontId="14" fillId="24" borderId="0" xfId="53" applyNumberFormat="1" applyFont="1" applyFill="1" applyBorder="1" applyAlignment="1">
      <alignment horizontal="right" vertical="center"/>
      <protection/>
    </xf>
    <xf numFmtId="0" fontId="41" fillId="24" borderId="23" xfId="0" applyFont="1" applyFill="1" applyBorder="1" applyAlignment="1">
      <alignment horizontal="left" vertical="center" wrapText="1"/>
    </xf>
    <xf numFmtId="3" fontId="28" fillId="24" borderId="23" xfId="53" applyNumberFormat="1" applyFont="1" applyFill="1" applyBorder="1" applyAlignment="1">
      <alignment horizontal="center" vertical="center" wrapText="1"/>
      <protection/>
    </xf>
    <xf numFmtId="0" fontId="8" fillId="24" borderId="13" xfId="54" applyFont="1" applyFill="1" applyBorder="1" applyAlignment="1">
      <alignment horizontal="center" vertical="center"/>
      <protection/>
    </xf>
    <xf numFmtId="3" fontId="13" fillId="24" borderId="17" xfId="54" applyNumberFormat="1" applyFont="1" applyFill="1" applyBorder="1" applyAlignment="1">
      <alignment vertical="center" wrapText="1"/>
      <protection/>
    </xf>
    <xf numFmtId="49" fontId="7" fillId="24" borderId="0" xfId="52" applyNumberFormat="1" applyFont="1" applyFill="1" applyAlignment="1">
      <alignment horizontal="left" vertical="center" wrapText="1"/>
      <protection/>
    </xf>
    <xf numFmtId="49" fontId="8" fillId="24" borderId="0" xfId="52" applyNumberFormat="1" applyFont="1" applyFill="1" applyAlignment="1">
      <alignment horizontal="left" vertical="center" wrapText="1"/>
      <protection/>
    </xf>
    <xf numFmtId="3" fontId="67" fillId="24" borderId="0" xfId="53" applyNumberFormat="1" applyFont="1" applyFill="1" applyBorder="1" applyAlignment="1">
      <alignment horizontal="center" vertical="center" wrapText="1"/>
      <protection/>
    </xf>
    <xf numFmtId="3" fontId="68" fillId="24" borderId="0" xfId="53" applyNumberFormat="1" applyFont="1" applyFill="1" applyBorder="1" applyAlignment="1">
      <alignment horizontal="left" vertical="center" wrapText="1"/>
      <protection/>
    </xf>
    <xf numFmtId="3" fontId="68" fillId="24" borderId="0" xfId="53" applyNumberFormat="1" applyFont="1" applyFill="1" applyBorder="1" applyAlignment="1">
      <alignment horizontal="center" vertical="center"/>
      <protection/>
    </xf>
    <xf numFmtId="3" fontId="69" fillId="24" borderId="0" xfId="53" applyNumberFormat="1" applyFont="1" applyFill="1" applyBorder="1" applyAlignment="1">
      <alignment vertical="center"/>
      <protection/>
    </xf>
    <xf numFmtId="0" fontId="70" fillId="24" borderId="0" xfId="54" applyFont="1" applyFill="1" applyAlignment="1">
      <alignment vertical="center"/>
      <protection/>
    </xf>
    <xf numFmtId="49" fontId="67" fillId="24" borderId="0" xfId="54" applyNumberFormat="1" applyFont="1" applyFill="1" applyAlignment="1">
      <alignment horizontal="center" vertical="center"/>
      <protection/>
    </xf>
    <xf numFmtId="0" fontId="71" fillId="24" borderId="0" xfId="52" applyFont="1" applyFill="1" applyAlignment="1">
      <alignment horizontal="center" vertical="center"/>
      <protection/>
    </xf>
    <xf numFmtId="3" fontId="72" fillId="24" borderId="0" xfId="52" applyNumberFormat="1" applyFont="1" applyFill="1" applyBorder="1" applyAlignment="1">
      <alignment horizontal="center" vertical="center"/>
      <protection/>
    </xf>
    <xf numFmtId="3" fontId="73" fillId="24" borderId="0" xfId="52" applyNumberFormat="1" applyFont="1" applyFill="1" applyBorder="1" applyAlignment="1">
      <alignment vertical="center"/>
      <protection/>
    </xf>
    <xf numFmtId="3" fontId="71" fillId="24" borderId="0" xfId="52" applyNumberFormat="1" applyFont="1" applyFill="1" applyBorder="1" applyAlignment="1">
      <alignment horizontal="center" vertical="center"/>
      <protection/>
    </xf>
    <xf numFmtId="3" fontId="73" fillId="24" borderId="0" xfId="52" applyNumberFormat="1" applyFont="1" applyFill="1" applyBorder="1" applyAlignment="1">
      <alignment horizontal="center" vertical="center"/>
      <protection/>
    </xf>
    <xf numFmtId="0" fontId="71" fillId="24" borderId="0" xfId="0" applyFont="1" applyFill="1" applyAlignment="1">
      <alignment horizontal="center" vertical="center"/>
    </xf>
    <xf numFmtId="3" fontId="74" fillId="24" borderId="0" xfId="0" applyNumberFormat="1" applyFont="1" applyFill="1" applyAlignment="1">
      <alignment horizontal="right" vertical="center"/>
    </xf>
    <xf numFmtId="3" fontId="70" fillId="24" borderId="0" xfId="52" applyNumberFormat="1" applyFont="1" applyFill="1" applyBorder="1" applyAlignment="1">
      <alignment vertical="center"/>
      <protection/>
    </xf>
    <xf numFmtId="3" fontId="18" fillId="24" borderId="0" xfId="53" applyNumberFormat="1" applyFont="1" applyFill="1" applyBorder="1" applyAlignment="1">
      <alignment vertical="center"/>
      <protection/>
    </xf>
    <xf numFmtId="0" fontId="5" fillId="24" borderId="0" xfId="54" applyFont="1" applyFill="1" applyAlignment="1">
      <alignment horizontal="right" vertical="center"/>
      <protection/>
    </xf>
    <xf numFmtId="3" fontId="9" fillId="24" borderId="0" xfId="53" applyNumberFormat="1" applyFont="1" applyFill="1" applyBorder="1" applyAlignment="1">
      <alignment horizontal="center" vertical="center"/>
      <protection/>
    </xf>
    <xf numFmtId="3" fontId="9" fillId="24" borderId="0" xfId="53" applyNumberFormat="1" applyFont="1" applyFill="1" applyBorder="1" applyAlignment="1">
      <alignment horizontal="right" vertical="center"/>
      <protection/>
    </xf>
    <xf numFmtId="3" fontId="75" fillId="24" borderId="0" xfId="52" applyNumberFormat="1" applyFont="1" applyFill="1" applyBorder="1" applyAlignment="1">
      <alignment horizontal="right" vertical="center"/>
      <protection/>
    </xf>
    <xf numFmtId="3" fontId="12" fillId="24" borderId="19" xfId="53" applyNumberFormat="1" applyFont="1" applyFill="1" applyBorder="1" applyAlignment="1">
      <alignment vertical="center"/>
      <protection/>
    </xf>
    <xf numFmtId="3" fontId="61" fillId="24" borderId="0" xfId="50" applyNumberFormat="1" applyFont="1" applyFill="1" applyAlignment="1">
      <alignment horizontal="center" vertical="center"/>
      <protection/>
    </xf>
    <xf numFmtId="0" fontId="42" fillId="24" borderId="14" xfId="54" applyNumberFormat="1" applyFont="1" applyFill="1" applyBorder="1" applyAlignment="1">
      <alignment horizontal="center" vertical="center" wrapText="1"/>
      <protection/>
    </xf>
    <xf numFmtId="0" fontId="42" fillId="24" borderId="15" xfId="54" applyNumberFormat="1" applyFont="1" applyFill="1" applyBorder="1" applyAlignment="1">
      <alignment horizontal="center" vertical="center" wrapText="1"/>
      <protection/>
    </xf>
    <xf numFmtId="0" fontId="42" fillId="24" borderId="15" xfId="53" applyFont="1" applyFill="1" applyBorder="1" applyAlignment="1">
      <alignment horizontal="center" vertical="center" wrapText="1"/>
      <protection/>
    </xf>
    <xf numFmtId="3" fontId="16" fillId="24" borderId="15" xfId="52" applyNumberFormat="1" applyFont="1" applyFill="1" applyBorder="1" applyAlignment="1">
      <alignment horizontal="center" vertical="center" wrapText="1"/>
      <protection/>
    </xf>
    <xf numFmtId="3" fontId="42" fillId="24" borderId="15" xfId="54" applyNumberFormat="1" applyFont="1" applyFill="1" applyBorder="1" applyAlignment="1">
      <alignment horizontal="center" vertical="center" wrapText="1"/>
      <protection/>
    </xf>
    <xf numFmtId="3" fontId="16" fillId="24" borderId="15" xfId="54" applyNumberFormat="1" applyFont="1" applyFill="1" applyBorder="1" applyAlignment="1">
      <alignment horizontal="center" vertical="center" wrapText="1"/>
      <protection/>
    </xf>
    <xf numFmtId="3" fontId="16" fillId="24" borderId="31" xfId="54" applyNumberFormat="1" applyFont="1" applyFill="1" applyBorder="1" applyAlignment="1">
      <alignment horizontal="center" vertical="center" wrapText="1"/>
      <protection/>
    </xf>
    <xf numFmtId="3" fontId="42" fillId="24" borderId="15" xfId="52" applyNumberFormat="1" applyFont="1" applyFill="1" applyBorder="1" applyAlignment="1">
      <alignment horizontal="center" vertical="center" wrapText="1"/>
      <protection/>
    </xf>
    <xf numFmtId="3" fontId="42" fillId="24" borderId="32" xfId="54" applyNumberFormat="1" applyFont="1" applyFill="1" applyBorder="1" applyAlignment="1">
      <alignment horizontal="center" vertical="center" wrapText="1"/>
      <protection/>
    </xf>
    <xf numFmtId="3" fontId="19" fillId="24" borderId="0" xfId="53" applyNumberFormat="1" applyFont="1" applyFill="1" applyAlignment="1">
      <alignment horizontal="center" vertical="center"/>
      <protection/>
    </xf>
    <xf numFmtId="44" fontId="72" fillId="24" borderId="0" xfId="44" applyFont="1" applyFill="1" applyBorder="1" applyAlignment="1">
      <alignment horizontal="center" vertical="center"/>
    </xf>
    <xf numFmtId="3" fontId="72" fillId="24" borderId="0" xfId="52" applyNumberFormat="1" applyFont="1" applyFill="1" applyAlignment="1">
      <alignment vertical="center"/>
      <protection/>
    </xf>
    <xf numFmtId="3" fontId="67" fillId="24" borderId="0" xfId="52" applyNumberFormat="1" applyFont="1" applyFill="1" applyBorder="1" applyAlignment="1">
      <alignment horizontal="right" vertical="center"/>
      <protection/>
    </xf>
    <xf numFmtId="3" fontId="68" fillId="24" borderId="0" xfId="53" applyNumberFormat="1" applyFont="1" applyFill="1" applyAlignment="1">
      <alignment vertical="center"/>
      <protection/>
    </xf>
    <xf numFmtId="3" fontId="80" fillId="24" borderId="0" xfId="52" applyNumberFormat="1" applyFont="1" applyFill="1" applyAlignment="1">
      <alignment vertical="center"/>
      <protection/>
    </xf>
    <xf numFmtId="0" fontId="62" fillId="24" borderId="0" xfId="54" applyFont="1" applyFill="1" applyAlignment="1">
      <alignment horizontal="left" vertical="center"/>
      <protection/>
    </xf>
    <xf numFmtId="3" fontId="62" fillId="24" borderId="0" xfId="53" applyNumberFormat="1" applyFont="1" applyFill="1" applyAlignment="1">
      <alignment horizontal="center" vertical="center"/>
      <protection/>
    </xf>
    <xf numFmtId="3" fontId="21" fillId="24" borderId="33" xfId="52" applyNumberFormat="1" applyFont="1" applyFill="1" applyBorder="1" applyAlignment="1">
      <alignment horizontal="center" vertical="center" wrapText="1"/>
      <protection/>
    </xf>
    <xf numFmtId="0" fontId="5" fillId="24" borderId="33" xfId="0" applyFont="1" applyFill="1" applyBorder="1" applyAlignment="1">
      <alignment horizontal="center" vertical="center" wrapText="1"/>
    </xf>
    <xf numFmtId="0" fontId="5" fillId="24" borderId="34" xfId="0" applyFont="1" applyFill="1" applyBorder="1" applyAlignment="1">
      <alignment horizontal="center" vertical="center" wrapText="1"/>
    </xf>
    <xf numFmtId="3" fontId="21" fillId="24" borderId="13" xfId="52" applyNumberFormat="1" applyFont="1" applyFill="1" applyBorder="1" applyAlignment="1">
      <alignment horizontal="center" vertical="center"/>
      <protection/>
    </xf>
    <xf numFmtId="0" fontId="5" fillId="24" borderId="13" xfId="0" applyFont="1" applyFill="1" applyBorder="1" applyAlignment="1">
      <alignment horizontal="center" vertical="center"/>
    </xf>
    <xf numFmtId="0" fontId="5" fillId="24" borderId="35" xfId="0" applyFont="1" applyFill="1" applyBorder="1" applyAlignment="1">
      <alignment horizontal="center" vertical="center"/>
    </xf>
    <xf numFmtId="3" fontId="19" fillId="24" borderId="0" xfId="52" applyNumberFormat="1" applyFont="1" applyFill="1" applyBorder="1" applyAlignment="1">
      <alignment horizontal="center" vertical="center"/>
      <protection/>
    </xf>
    <xf numFmtId="0" fontId="8" fillId="24" borderId="0" xfId="0" applyFont="1" applyFill="1" applyAlignment="1">
      <alignment vertical="center"/>
    </xf>
    <xf numFmtId="0" fontId="19" fillId="24" borderId="0" xfId="53" applyFont="1" applyFill="1" applyAlignment="1">
      <alignment horizontal="center" vertical="center"/>
      <protection/>
    </xf>
    <xf numFmtId="0" fontId="7" fillId="24" borderId="0" xfId="54" applyFont="1" applyFill="1" applyBorder="1" applyAlignment="1">
      <alignment horizontal="left" vertical="center"/>
      <protection/>
    </xf>
    <xf numFmtId="0" fontId="0" fillId="24" borderId="0" xfId="0" applyFont="1" applyFill="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_5. Martie rectificare Lista 2002 HCLM .2002 " xfId="50"/>
    <cellStyle name="Normal_Dotari Cap. 60" xfId="51"/>
    <cellStyle name="Normal_Lista 2001 rectif Mai" xfId="52"/>
    <cellStyle name="Normal_LISTA DOTARI" xfId="53"/>
    <cellStyle name="Normal_Sheet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85725</xdr:rowOff>
    </xdr:from>
    <xdr:to>
      <xdr:col>1</xdr:col>
      <xdr:colOff>790575</xdr:colOff>
      <xdr:row>4</xdr:row>
      <xdr:rowOff>142875</xdr:rowOff>
    </xdr:to>
    <xdr:pic>
      <xdr:nvPicPr>
        <xdr:cNvPr id="1" name="Picture 1" descr="logo2"/>
        <xdr:cNvPicPr preferRelativeResize="1">
          <a:picLocks noChangeAspect="1"/>
        </xdr:cNvPicPr>
      </xdr:nvPicPr>
      <xdr:blipFill>
        <a:blip r:embed="rId1"/>
        <a:stretch>
          <a:fillRect/>
        </a:stretch>
      </xdr:blipFill>
      <xdr:spPr>
        <a:xfrm>
          <a:off x="200025" y="85725"/>
          <a:ext cx="828675" cy="904875"/>
        </a:xfrm>
        <a:prstGeom prst="rect">
          <a:avLst/>
        </a:prstGeom>
        <a:noFill/>
        <a:ln w="9525" cmpd="sng">
          <a:noFill/>
        </a:ln>
      </xdr:spPr>
    </xdr:pic>
    <xdr:clientData/>
  </xdr:twoCellAnchor>
  <xdr:twoCellAnchor editAs="absolute">
    <xdr:from>
      <xdr:col>1</xdr:col>
      <xdr:colOff>695325</xdr:colOff>
      <xdr:row>0</xdr:row>
      <xdr:rowOff>47625</xdr:rowOff>
    </xdr:from>
    <xdr:to>
      <xdr:col>2</xdr:col>
      <xdr:colOff>485775</xdr:colOff>
      <xdr:row>0</xdr:row>
      <xdr:rowOff>47625</xdr:rowOff>
    </xdr:to>
    <xdr:sp>
      <xdr:nvSpPr>
        <xdr:cNvPr id="2" name="Text Box 31"/>
        <xdr:cNvSpPr txBox="1">
          <a:spLocks noChangeArrowheads="1"/>
        </xdr:cNvSpPr>
      </xdr:nvSpPr>
      <xdr:spPr>
        <a:xfrm>
          <a:off x="933450" y="47625"/>
          <a:ext cx="25527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a:t>
          </a:r>
          <a:r>
            <a:rPr lang="en-US" cap="none" sz="1400" b="1" i="0" u="none" baseline="0">
              <a:solidFill>
                <a:srgbClr val="000000"/>
              </a:solidFill>
              <a:latin typeface="Times New Roman CE"/>
              <a:ea typeface="Times New Roman CE"/>
              <a:cs typeface="Times New Roman CE"/>
            </a:rPr>
            <a:t>ROMÂNIA</a:t>
          </a:r>
          <a:r>
            <a:rPr lang="en-US" cap="none" sz="1000" b="0" i="0" u="none" baseline="0">
              <a:solidFill>
                <a:srgbClr val="000000"/>
              </a:solidFill>
              <a:latin typeface="Times New Roman CE"/>
              <a:ea typeface="Times New Roman CE"/>
              <a:cs typeface="Times New Roman CE"/>
            </a:rPr>
            <a:t>
</a:t>
          </a:r>
          <a:r>
            <a:rPr lang="en-US" cap="none" sz="1000" b="0" i="0" u="none" baseline="0">
              <a:solidFill>
                <a:srgbClr val="000000"/>
              </a:solidFill>
              <a:latin typeface="Times New Roman CE"/>
              <a:ea typeface="Times New Roman CE"/>
              <a:cs typeface="Times New Roman CE"/>
            </a:rPr>
            <a:t> JUDEŢUL CONSTANŢA
</a:t>
          </a:r>
          <a:r>
            <a:rPr lang="en-US" cap="none" sz="1000" b="0" i="0" u="none" baseline="0">
              <a:solidFill>
                <a:srgbClr val="000000"/>
              </a:solidFill>
              <a:latin typeface="Times New Roman CE"/>
              <a:ea typeface="Times New Roman CE"/>
              <a:cs typeface="Times New Roman CE"/>
            </a:rPr>
            <a:t> CONSILIUL LOCAL 
</a:t>
          </a:r>
          <a:r>
            <a:rPr lang="en-US" cap="none" sz="1000" b="0" i="0" u="none" baseline="0">
              <a:solidFill>
                <a:srgbClr val="000000"/>
              </a:solidFill>
              <a:latin typeface="Times New Roman CE"/>
              <a:ea typeface="Times New Roman CE"/>
              <a:cs typeface="Times New Roman CE"/>
            </a:rPr>
            <a:t> MUNICIPIUL CONSTANŢA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0</xdr:row>
      <xdr:rowOff>38100</xdr:rowOff>
    </xdr:from>
    <xdr:to>
      <xdr:col>1</xdr:col>
      <xdr:colOff>2609850</xdr:colOff>
      <xdr:row>4</xdr:row>
      <xdr:rowOff>0</xdr:rowOff>
    </xdr:to>
    <xdr:sp>
      <xdr:nvSpPr>
        <xdr:cNvPr id="1" name="Text Box 5"/>
        <xdr:cNvSpPr txBox="1">
          <a:spLocks noChangeArrowheads="1"/>
        </xdr:cNvSpPr>
      </xdr:nvSpPr>
      <xdr:spPr>
        <a:xfrm>
          <a:off x="828675" y="38100"/>
          <a:ext cx="2057400" cy="695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 ROMANIA
</a:t>
          </a:r>
          <a:r>
            <a:rPr lang="en-US" cap="none" sz="1000" b="0" i="0" u="none" baseline="0">
              <a:solidFill>
                <a:srgbClr val="000000"/>
              </a:solidFill>
              <a:latin typeface="Arial CE"/>
              <a:ea typeface="Arial CE"/>
              <a:cs typeface="Arial CE"/>
            </a:rPr>
            <a:t> JUDEŢUL CONSTANŢA
</a:t>
          </a:r>
          <a:r>
            <a:rPr lang="en-US" cap="none" sz="1000" b="0" i="0" u="none" baseline="0">
              <a:solidFill>
                <a:srgbClr val="000000"/>
              </a:solidFill>
              <a:latin typeface="Arial CE"/>
              <a:ea typeface="Arial CE"/>
              <a:cs typeface="Arial CE"/>
            </a:rPr>
            <a:t> CONSILIUL LOCAL 
</a:t>
          </a:r>
          <a:r>
            <a:rPr lang="en-US" cap="none" sz="1000" b="0" i="0" u="none" baseline="0">
              <a:solidFill>
                <a:srgbClr val="000000"/>
              </a:solidFill>
              <a:latin typeface="Arial CE"/>
              <a:ea typeface="Arial CE"/>
              <a:cs typeface="Arial CE"/>
            </a:rPr>
            <a:t> MUNICIPIUL CONSTANŢA</a:t>
          </a:r>
          <a:r>
            <a:rPr lang="en-US" cap="none" sz="1000" b="0" i="0" u="none" baseline="0">
              <a:solidFill>
                <a:srgbClr val="000000"/>
              </a:solidFill>
              <a:latin typeface="Times New Roman CE"/>
              <a:ea typeface="Times New Roman CE"/>
              <a:cs typeface="Times New Roman CE"/>
            </a:rPr>
            <a:t>
</a:t>
          </a:r>
          <a:r>
            <a:rPr lang="en-US" cap="none" sz="1000" b="0" i="0" u="none" baseline="0">
              <a:solidFill>
                <a:srgbClr val="000000"/>
              </a:solidFill>
              <a:latin typeface="Times New Roman CE"/>
              <a:ea typeface="Times New Roman CE"/>
              <a:cs typeface="Times New Roman CE"/>
            </a:rPr>
            <a:t>                        </a:t>
          </a:r>
        </a:p>
      </xdr:txBody>
    </xdr:sp>
    <xdr:clientData/>
  </xdr:twoCellAnchor>
  <xdr:twoCellAnchor>
    <xdr:from>
      <xdr:col>0</xdr:col>
      <xdr:colOff>57150</xdr:colOff>
      <xdr:row>0</xdr:row>
      <xdr:rowOff>38100</xdr:rowOff>
    </xdr:from>
    <xdr:to>
      <xdr:col>1</xdr:col>
      <xdr:colOff>495300</xdr:colOff>
      <xdr:row>4</xdr:row>
      <xdr:rowOff>0</xdr:rowOff>
    </xdr:to>
    <xdr:pic>
      <xdr:nvPicPr>
        <xdr:cNvPr id="2" name="Picture 8" descr="logo2"/>
        <xdr:cNvPicPr preferRelativeResize="1">
          <a:picLocks noChangeAspect="1"/>
        </xdr:cNvPicPr>
      </xdr:nvPicPr>
      <xdr:blipFill>
        <a:blip r:embed="rId1"/>
        <a:stretch>
          <a:fillRect/>
        </a:stretch>
      </xdr:blipFill>
      <xdr:spPr>
        <a:xfrm>
          <a:off x="57150" y="38100"/>
          <a:ext cx="7143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xdr:col>
      <xdr:colOff>561975</xdr:colOff>
      <xdr:row>5</xdr:row>
      <xdr:rowOff>9525</xdr:rowOff>
    </xdr:to>
    <xdr:pic>
      <xdr:nvPicPr>
        <xdr:cNvPr id="1" name="Picture 1" descr="logo2"/>
        <xdr:cNvPicPr preferRelativeResize="1">
          <a:picLocks noChangeAspect="1"/>
        </xdr:cNvPicPr>
      </xdr:nvPicPr>
      <xdr:blipFill>
        <a:blip r:embed="rId1"/>
        <a:stretch>
          <a:fillRect/>
        </a:stretch>
      </xdr:blipFill>
      <xdr:spPr>
        <a:xfrm>
          <a:off x="66675" y="38100"/>
          <a:ext cx="752475" cy="857250"/>
        </a:xfrm>
        <a:prstGeom prst="rect">
          <a:avLst/>
        </a:prstGeom>
        <a:noFill/>
        <a:ln w="9525" cmpd="sng">
          <a:noFill/>
        </a:ln>
      </xdr:spPr>
    </xdr:pic>
    <xdr:clientData/>
  </xdr:twoCellAnchor>
  <xdr:twoCellAnchor editAs="absolute">
    <xdr:from>
      <xdr:col>1</xdr:col>
      <xdr:colOff>771525</xdr:colOff>
      <xdr:row>0</xdr:row>
      <xdr:rowOff>114300</xdr:rowOff>
    </xdr:from>
    <xdr:to>
      <xdr:col>2</xdr:col>
      <xdr:colOff>9525</xdr:colOff>
      <xdr:row>4</xdr:row>
      <xdr:rowOff>123825</xdr:rowOff>
    </xdr:to>
    <xdr:sp>
      <xdr:nvSpPr>
        <xdr:cNvPr id="2" name="Text Box 2"/>
        <xdr:cNvSpPr txBox="1">
          <a:spLocks noChangeArrowheads="1"/>
        </xdr:cNvSpPr>
      </xdr:nvSpPr>
      <xdr:spPr>
        <a:xfrm>
          <a:off x="1028700" y="114300"/>
          <a:ext cx="1743075" cy="7143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CE"/>
              <a:ea typeface="Times New Roman CE"/>
              <a:cs typeface="Times New Roman CE"/>
            </a:rPr>
            <a:t> ROMANIA
</a:t>
          </a:r>
          <a:r>
            <a:rPr lang="en-US" cap="none" sz="1000" b="1" i="0" u="none" baseline="0">
              <a:solidFill>
                <a:srgbClr val="000000"/>
              </a:solidFill>
              <a:latin typeface="Times New Roman CE"/>
              <a:ea typeface="Times New Roman CE"/>
              <a:cs typeface="Times New Roman CE"/>
            </a:rPr>
            <a:t> JUDEŢUL CONSTANŢA
</a:t>
          </a:r>
          <a:r>
            <a:rPr lang="en-US" cap="none" sz="1000" b="1" i="0" u="none" baseline="0">
              <a:solidFill>
                <a:srgbClr val="000000"/>
              </a:solidFill>
              <a:latin typeface="Times New Roman CE"/>
              <a:ea typeface="Times New Roman CE"/>
              <a:cs typeface="Times New Roman CE"/>
            </a:rPr>
            <a:t> CONSILIUL LOCAL 
</a:t>
          </a:r>
          <a:r>
            <a:rPr lang="en-US" cap="none" sz="1000" b="1" i="0" u="none" baseline="0">
              <a:solidFill>
                <a:srgbClr val="000000"/>
              </a:solidFill>
              <a:latin typeface="Times New Roman CE"/>
              <a:ea typeface="Times New Roman CE"/>
              <a:cs typeface="Times New Roman CE"/>
            </a:rPr>
            <a:t> MUNICIPIUL CONSTANŢA</a:t>
          </a:r>
          <a:r>
            <a:rPr lang="en-US" cap="none" sz="1000" b="0" i="0" u="none" baseline="0">
              <a:solidFill>
                <a:srgbClr val="000000"/>
              </a:solidFill>
              <a:latin typeface="Arial CE"/>
              <a:ea typeface="Arial CE"/>
              <a:cs typeface="Arial CE"/>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228600</xdr:rowOff>
    </xdr:from>
    <xdr:to>
      <xdr:col>1</xdr:col>
      <xdr:colOff>762000</xdr:colOff>
      <xdr:row>3</xdr:row>
      <xdr:rowOff>47625</xdr:rowOff>
    </xdr:to>
    <xdr:pic>
      <xdr:nvPicPr>
        <xdr:cNvPr id="1" name="Picture 1" descr="logo2"/>
        <xdr:cNvPicPr preferRelativeResize="1">
          <a:picLocks noChangeAspect="1"/>
        </xdr:cNvPicPr>
      </xdr:nvPicPr>
      <xdr:blipFill>
        <a:blip r:embed="rId1"/>
        <a:stretch>
          <a:fillRect/>
        </a:stretch>
      </xdr:blipFill>
      <xdr:spPr>
        <a:xfrm>
          <a:off x="209550" y="228600"/>
          <a:ext cx="800100" cy="742950"/>
        </a:xfrm>
        <a:prstGeom prst="rect">
          <a:avLst/>
        </a:prstGeom>
        <a:noFill/>
        <a:ln w="9525" cmpd="sng">
          <a:noFill/>
        </a:ln>
      </xdr:spPr>
    </xdr:pic>
    <xdr:clientData/>
  </xdr:twoCellAnchor>
  <xdr:twoCellAnchor editAs="absolute">
    <xdr:from>
      <xdr:col>1</xdr:col>
      <xdr:colOff>771525</xdr:colOff>
      <xdr:row>0</xdr:row>
      <xdr:rowOff>152400</xdr:rowOff>
    </xdr:from>
    <xdr:to>
      <xdr:col>2</xdr:col>
      <xdr:colOff>200025</xdr:colOff>
      <xdr:row>2</xdr:row>
      <xdr:rowOff>95250</xdr:rowOff>
    </xdr:to>
    <xdr:sp>
      <xdr:nvSpPr>
        <xdr:cNvPr id="2" name="Text Box 3"/>
        <xdr:cNvSpPr txBox="1">
          <a:spLocks noChangeArrowheads="1"/>
        </xdr:cNvSpPr>
      </xdr:nvSpPr>
      <xdr:spPr>
        <a:xfrm>
          <a:off x="1019175" y="152400"/>
          <a:ext cx="1952625" cy="723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CE"/>
              <a:ea typeface="Times New Roman CE"/>
              <a:cs typeface="Times New Roman CE"/>
            </a:rPr>
            <a:t> ROMANIA
</a:t>
          </a:r>
          <a:r>
            <a:rPr lang="en-US" cap="none" sz="1000" b="1" i="0" u="none" baseline="0">
              <a:solidFill>
                <a:srgbClr val="000000"/>
              </a:solidFill>
              <a:latin typeface="Times New Roman CE"/>
              <a:ea typeface="Times New Roman CE"/>
              <a:cs typeface="Times New Roman CE"/>
            </a:rPr>
            <a:t> JUDEŢUL CONSTANŢA
</a:t>
          </a:r>
          <a:r>
            <a:rPr lang="en-US" cap="none" sz="1000" b="1" i="0" u="none" baseline="0">
              <a:solidFill>
                <a:srgbClr val="000000"/>
              </a:solidFill>
              <a:latin typeface="Times New Roman CE"/>
              <a:ea typeface="Times New Roman CE"/>
              <a:cs typeface="Times New Roman CE"/>
            </a:rPr>
            <a:t> CONSILIUL LOCAL 
</a:t>
          </a:r>
          <a:r>
            <a:rPr lang="en-US" cap="none" sz="1000" b="1" i="0" u="none" baseline="0">
              <a:solidFill>
                <a:srgbClr val="000000"/>
              </a:solidFill>
              <a:latin typeface="Times New Roman CE"/>
              <a:ea typeface="Times New Roman CE"/>
              <a:cs typeface="Times New Roman CE"/>
            </a:rPr>
            <a:t> MUNICIPIUL CONSTANŢA</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L25"/>
  <sheetViews>
    <sheetView zoomScalePageLayoutView="0" workbookViewId="0" topLeftCell="A1">
      <selection activeCell="D25" sqref="D25"/>
    </sheetView>
  </sheetViews>
  <sheetFormatPr defaultColWidth="9.140625" defaultRowHeight="12.75"/>
  <cols>
    <col min="1" max="1" width="14.421875" style="0" customWidth="1"/>
    <col min="4" max="4" width="41.140625" style="0" customWidth="1"/>
    <col min="5" max="5" width="19.57421875" style="0" customWidth="1"/>
    <col min="8" max="23" width="9.140625" style="243" customWidth="1"/>
  </cols>
  <sheetData>
    <row r="4" spans="1:5" ht="18">
      <c r="A4" s="1"/>
      <c r="B4" s="1"/>
      <c r="C4" s="1"/>
      <c r="D4" s="1"/>
      <c r="E4" s="1"/>
    </row>
    <row r="5" spans="1:5" ht="18">
      <c r="A5" s="2" t="s">
        <v>208</v>
      </c>
      <c r="B5" s="3"/>
      <c r="C5" s="3"/>
      <c r="D5" s="4"/>
      <c r="E5" s="6" t="s">
        <v>209</v>
      </c>
    </row>
    <row r="6" spans="1:5" ht="18">
      <c r="A6" s="5" t="s">
        <v>210</v>
      </c>
      <c r="B6" s="3"/>
      <c r="C6" s="3"/>
      <c r="D6" s="4"/>
      <c r="E6" s="6" t="s">
        <v>211</v>
      </c>
    </row>
    <row r="7" spans="1:5" ht="18">
      <c r="A7" s="5" t="s">
        <v>212</v>
      </c>
      <c r="B7" s="3"/>
      <c r="C7" s="3"/>
      <c r="D7" s="4"/>
      <c r="E7" s="7" t="s">
        <v>213</v>
      </c>
    </row>
    <row r="8" spans="1:6" ht="18">
      <c r="A8" s="5" t="s">
        <v>219</v>
      </c>
      <c r="B8" s="3"/>
      <c r="C8" s="3"/>
      <c r="D8" s="4"/>
      <c r="E8" s="8" t="s">
        <v>214</v>
      </c>
      <c r="F8" t="s">
        <v>218</v>
      </c>
    </row>
    <row r="9" spans="1:5" ht="18">
      <c r="A9" s="9" t="s">
        <v>226</v>
      </c>
      <c r="B9" s="3"/>
      <c r="C9" s="3"/>
      <c r="D9" s="4"/>
      <c r="E9" s="6" t="s">
        <v>225</v>
      </c>
    </row>
    <row r="23" ht="12.75">
      <c r="L23" s="244"/>
    </row>
    <row r="24" ht="12.75">
      <c r="L24" s="244"/>
    </row>
    <row r="25" ht="12.75">
      <c r="L25" s="24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P560"/>
  <sheetViews>
    <sheetView zoomScaleSheetLayoutView="100" zoomScalePageLayoutView="0" workbookViewId="0" topLeftCell="A1">
      <selection activeCell="N555" sqref="A1:N555"/>
    </sheetView>
  </sheetViews>
  <sheetFormatPr defaultColWidth="9.140625" defaultRowHeight="12.75"/>
  <cols>
    <col min="1" max="1" width="3.57421875" style="30" customWidth="1"/>
    <col min="2" max="2" width="41.421875" style="182" customWidth="1"/>
    <col min="3" max="3" width="10.28125" style="31" customWidth="1"/>
    <col min="4" max="4" width="10.421875" style="31" customWidth="1"/>
    <col min="5" max="6" width="10.00390625" style="31" customWidth="1"/>
    <col min="7" max="7" width="10.140625" style="31" customWidth="1"/>
    <col min="8" max="9" width="7.140625" style="31" customWidth="1"/>
    <col min="10" max="10" width="8.57421875" style="31" customWidth="1"/>
    <col min="11" max="11" width="8.7109375" style="31" customWidth="1"/>
    <col min="12" max="12" width="8.28125" style="31" customWidth="1"/>
    <col min="13" max="13" width="7.8515625" style="31" customWidth="1"/>
    <col min="14" max="14" width="5.8515625" style="33" customWidth="1"/>
    <col min="15" max="16384" width="9.140625" style="185" customWidth="1"/>
  </cols>
  <sheetData>
    <row r="1" spans="2:13" ht="21.75" customHeight="1">
      <c r="B1" s="23" t="s">
        <v>280</v>
      </c>
      <c r="E1" s="104"/>
      <c r="G1" s="12"/>
      <c r="H1" s="111"/>
      <c r="I1" s="181"/>
      <c r="J1" s="274"/>
      <c r="L1" s="12"/>
      <c r="M1" s="32" t="s">
        <v>227</v>
      </c>
    </row>
    <row r="2" spans="2:13" ht="15">
      <c r="B2" s="34" t="s">
        <v>286</v>
      </c>
      <c r="E2" s="303"/>
      <c r="F2" s="291" t="s">
        <v>193</v>
      </c>
      <c r="G2" s="210"/>
      <c r="H2" s="291" t="s">
        <v>244</v>
      </c>
      <c r="I2" s="291"/>
      <c r="J2" s="291" t="s">
        <v>194</v>
      </c>
      <c r="K2" s="202"/>
      <c r="L2" s="12"/>
      <c r="M2" s="32"/>
    </row>
    <row r="3" spans="2:12" ht="15">
      <c r="B3" s="34" t="s">
        <v>287</v>
      </c>
      <c r="D3" s="182"/>
      <c r="E3" s="303"/>
      <c r="F3" s="291" t="s">
        <v>143</v>
      </c>
      <c r="G3" s="210"/>
      <c r="H3" s="209"/>
      <c r="I3" s="291"/>
      <c r="J3" s="291" t="s">
        <v>257</v>
      </c>
      <c r="K3" s="202"/>
      <c r="L3" s="12"/>
    </row>
    <row r="4" spans="2:11" ht="15">
      <c r="B4" s="34" t="s">
        <v>288</v>
      </c>
      <c r="D4" s="182"/>
      <c r="E4" s="201"/>
      <c r="F4" s="291" t="s">
        <v>12</v>
      </c>
      <c r="G4" s="301"/>
      <c r="H4" s="201"/>
      <c r="I4" s="201"/>
      <c r="J4" s="291" t="s">
        <v>312</v>
      </c>
      <c r="K4" s="202"/>
    </row>
    <row r="5" spans="2:11" ht="15">
      <c r="B5" s="34" t="s">
        <v>454</v>
      </c>
      <c r="D5" s="182"/>
      <c r="E5" s="201"/>
      <c r="F5" s="303" t="s">
        <v>144</v>
      </c>
      <c r="G5" s="210"/>
      <c r="H5" s="210"/>
      <c r="I5" s="210"/>
      <c r="J5" s="210"/>
      <c r="K5" s="201"/>
    </row>
    <row r="6" spans="5:12" ht="15">
      <c r="E6" s="182"/>
      <c r="F6" s="182"/>
      <c r="G6" s="35"/>
      <c r="H6" s="10"/>
      <c r="J6" s="10"/>
      <c r="K6" s="182"/>
      <c r="L6" s="12"/>
    </row>
    <row r="7" spans="2:12" ht="10.5" customHeight="1">
      <c r="B7" s="34" t="s">
        <v>191</v>
      </c>
      <c r="E7" s="182"/>
      <c r="F7" s="182"/>
      <c r="G7" s="35"/>
      <c r="H7" s="10"/>
      <c r="J7" s="10"/>
      <c r="K7" s="182"/>
      <c r="L7" s="12"/>
    </row>
    <row r="8" spans="1:13" ht="41.25" customHeight="1">
      <c r="A8" s="403" t="s">
        <v>467</v>
      </c>
      <c r="B8" s="404"/>
      <c r="C8" s="404"/>
      <c r="D8" s="404"/>
      <c r="E8" s="404"/>
      <c r="F8" s="404"/>
      <c r="G8" s="404"/>
      <c r="H8" s="404"/>
      <c r="I8" s="404"/>
      <c r="J8" s="404"/>
      <c r="K8" s="404"/>
      <c r="L8" s="404"/>
      <c r="M8" s="404"/>
    </row>
    <row r="9" spans="1:13" ht="7.5" customHeight="1">
      <c r="A9" s="285"/>
      <c r="B9" s="36"/>
      <c r="C9" s="286"/>
      <c r="D9" s="286"/>
      <c r="E9" s="286"/>
      <c r="F9" s="286"/>
      <c r="G9" s="286"/>
      <c r="H9" s="286"/>
      <c r="I9" s="286"/>
      <c r="J9" s="286"/>
      <c r="K9" s="286"/>
      <c r="L9" s="286"/>
      <c r="M9" s="286"/>
    </row>
    <row r="10" spans="1:14" s="38" customFormat="1" ht="12" customHeight="1">
      <c r="A10" s="285"/>
      <c r="B10" s="36"/>
      <c r="C10" s="286"/>
      <c r="D10" s="286"/>
      <c r="E10" s="286"/>
      <c r="F10" s="286"/>
      <c r="G10" s="286"/>
      <c r="H10" s="286"/>
      <c r="I10" s="286"/>
      <c r="J10" s="286"/>
      <c r="K10" s="286"/>
      <c r="L10" s="286"/>
      <c r="M10" s="286"/>
      <c r="N10" s="37"/>
    </row>
    <row r="11" spans="1:14" s="38" customFormat="1" ht="12" customHeight="1" thickBot="1">
      <c r="A11" s="39"/>
      <c r="B11" s="189"/>
      <c r="C11" s="40"/>
      <c r="D11" s="40"/>
      <c r="E11" s="40"/>
      <c r="F11" s="40"/>
      <c r="G11" s="40"/>
      <c r="H11" s="40"/>
      <c r="I11" s="40"/>
      <c r="J11" s="41"/>
      <c r="K11" s="40"/>
      <c r="L11" s="178"/>
      <c r="M11" s="42" t="s">
        <v>215</v>
      </c>
      <c r="N11" s="37"/>
    </row>
    <row r="12" spans="1:14" s="38" customFormat="1" ht="12" customHeight="1">
      <c r="A12" s="43"/>
      <c r="B12" s="190"/>
      <c r="C12" s="44"/>
      <c r="D12" s="44"/>
      <c r="E12" s="44"/>
      <c r="F12" s="44"/>
      <c r="G12" s="397" t="s">
        <v>464</v>
      </c>
      <c r="H12" s="398"/>
      <c r="I12" s="398"/>
      <c r="J12" s="398"/>
      <c r="K12" s="398"/>
      <c r="L12" s="398"/>
      <c r="M12" s="399"/>
      <c r="N12" s="37"/>
    </row>
    <row r="13" spans="1:14" s="38" customFormat="1" ht="12" customHeight="1">
      <c r="A13" s="45"/>
      <c r="B13" s="191" t="s">
        <v>153</v>
      </c>
      <c r="C13" s="46" t="s">
        <v>154</v>
      </c>
      <c r="D13" s="46" t="s">
        <v>155</v>
      </c>
      <c r="E13" s="46" t="s">
        <v>156</v>
      </c>
      <c r="F13" s="46" t="s">
        <v>157</v>
      </c>
      <c r="G13" s="46" t="s">
        <v>250</v>
      </c>
      <c r="H13" s="400" t="s">
        <v>196</v>
      </c>
      <c r="I13" s="401"/>
      <c r="J13" s="401"/>
      <c r="K13" s="401"/>
      <c r="L13" s="401"/>
      <c r="M13" s="402"/>
      <c r="N13" s="37"/>
    </row>
    <row r="14" spans="1:14" s="38" customFormat="1" ht="20.25" customHeight="1">
      <c r="A14" s="45" t="s">
        <v>158</v>
      </c>
      <c r="B14" s="191" t="s">
        <v>159</v>
      </c>
      <c r="C14" s="46" t="s">
        <v>160</v>
      </c>
      <c r="D14" s="46" t="s">
        <v>161</v>
      </c>
      <c r="E14" s="46" t="s">
        <v>162</v>
      </c>
      <c r="F14" s="46" t="s">
        <v>466</v>
      </c>
      <c r="G14" s="46" t="s">
        <v>465</v>
      </c>
      <c r="H14" s="47" t="s">
        <v>163</v>
      </c>
      <c r="I14" s="48" t="s">
        <v>195</v>
      </c>
      <c r="J14" s="48" t="s">
        <v>228</v>
      </c>
      <c r="K14" s="48" t="s">
        <v>433</v>
      </c>
      <c r="L14" s="48" t="s">
        <v>164</v>
      </c>
      <c r="M14" s="49" t="s">
        <v>231</v>
      </c>
      <c r="N14" s="37"/>
    </row>
    <row r="15" spans="1:14" s="38" customFormat="1" ht="12" customHeight="1">
      <c r="A15" s="45" t="s">
        <v>165</v>
      </c>
      <c r="B15" s="191" t="s">
        <v>166</v>
      </c>
      <c r="C15" s="46" t="s">
        <v>167</v>
      </c>
      <c r="D15" s="46" t="s">
        <v>168</v>
      </c>
      <c r="E15" s="50" t="s">
        <v>314</v>
      </c>
      <c r="F15" s="50"/>
      <c r="G15" s="46" t="s">
        <v>260</v>
      </c>
      <c r="H15" s="51" t="s">
        <v>217</v>
      </c>
      <c r="I15" s="46" t="s">
        <v>216</v>
      </c>
      <c r="J15" s="46" t="s">
        <v>229</v>
      </c>
      <c r="K15" s="275" t="s">
        <v>434</v>
      </c>
      <c r="L15" s="46" t="s">
        <v>169</v>
      </c>
      <c r="M15" s="52" t="s">
        <v>189</v>
      </c>
      <c r="N15" s="37"/>
    </row>
    <row r="16" spans="1:14" s="38" customFormat="1" ht="12" customHeight="1">
      <c r="A16" s="45"/>
      <c r="B16" s="191"/>
      <c r="C16" s="46"/>
      <c r="D16" s="46"/>
      <c r="E16" s="50"/>
      <c r="F16" s="50"/>
      <c r="G16" s="46"/>
      <c r="H16" s="53" t="s">
        <v>230</v>
      </c>
      <c r="I16" s="54"/>
      <c r="J16" s="46" t="s">
        <v>253</v>
      </c>
      <c r="K16" s="46" t="s">
        <v>169</v>
      </c>
      <c r="L16" s="46"/>
      <c r="M16" s="52" t="s">
        <v>190</v>
      </c>
      <c r="N16" s="37"/>
    </row>
    <row r="17" spans="1:14" s="38" customFormat="1" ht="12" customHeight="1" thickBot="1">
      <c r="A17" s="55">
        <v>0</v>
      </c>
      <c r="B17" s="56">
        <v>1</v>
      </c>
      <c r="C17" s="56">
        <v>2</v>
      </c>
      <c r="D17" s="56">
        <v>3</v>
      </c>
      <c r="E17" s="56">
        <v>4</v>
      </c>
      <c r="F17" s="56">
        <v>5</v>
      </c>
      <c r="G17" s="56">
        <v>6</v>
      </c>
      <c r="H17" s="56">
        <v>7</v>
      </c>
      <c r="I17" s="56">
        <v>8</v>
      </c>
      <c r="J17" s="56">
        <v>10</v>
      </c>
      <c r="K17" s="56">
        <v>11</v>
      </c>
      <c r="L17" s="56">
        <v>12</v>
      </c>
      <c r="M17" s="56">
        <v>13</v>
      </c>
      <c r="N17" s="37"/>
    </row>
    <row r="18" spans="1:14" s="38" customFormat="1" ht="18.75" customHeight="1">
      <c r="A18" s="39"/>
      <c r="B18" s="189"/>
      <c r="C18" s="39"/>
      <c r="D18" s="39"/>
      <c r="E18" s="39"/>
      <c r="F18" s="39"/>
      <c r="G18" s="39"/>
      <c r="H18" s="39"/>
      <c r="I18" s="39"/>
      <c r="J18" s="39"/>
      <c r="K18" s="39"/>
      <c r="L18" s="39"/>
      <c r="M18" s="39"/>
      <c r="N18" s="37"/>
    </row>
    <row r="19" spans="1:14" s="38" customFormat="1" ht="18.75" customHeight="1">
      <c r="A19" s="28"/>
      <c r="B19" s="57" t="s">
        <v>224</v>
      </c>
      <c r="C19" s="58">
        <f aca="true" t="shared" si="0" ref="C19:F20">C22+C25+C28</f>
        <v>1238085</v>
      </c>
      <c r="D19" s="58">
        <f t="shared" si="0"/>
        <v>1247977</v>
      </c>
      <c r="E19" s="58">
        <f t="shared" si="0"/>
        <v>147682</v>
      </c>
      <c r="F19" s="58">
        <f t="shared" si="0"/>
        <v>1100708</v>
      </c>
      <c r="G19" s="58">
        <f>H19+I19+J19+K19+L19+M19</f>
        <v>552003</v>
      </c>
      <c r="H19" s="58">
        <f aca="true" t="shared" si="1" ref="H19:K20">H22+H25+H28</f>
        <v>0</v>
      </c>
      <c r="I19" s="58">
        <f t="shared" si="1"/>
        <v>4258</v>
      </c>
      <c r="J19" s="58">
        <f t="shared" si="1"/>
        <v>367860</v>
      </c>
      <c r="K19" s="58">
        <f t="shared" si="1"/>
        <v>23404</v>
      </c>
      <c r="L19" s="58">
        <f>L22+L25+L28</f>
        <v>134454</v>
      </c>
      <c r="M19" s="58">
        <f>M22+M25+M28</f>
        <v>22027</v>
      </c>
      <c r="N19" s="37"/>
    </row>
    <row r="20" spans="1:14" s="38" customFormat="1" ht="18.75" customHeight="1">
      <c r="A20" s="28"/>
      <c r="B20" s="57" t="s">
        <v>265</v>
      </c>
      <c r="C20" s="58">
        <f t="shared" si="0"/>
        <v>680096</v>
      </c>
      <c r="D20" s="58">
        <f t="shared" si="0"/>
        <v>673235</v>
      </c>
      <c r="E20" s="58">
        <f t="shared" si="0"/>
        <v>26087</v>
      </c>
      <c r="F20" s="58">
        <f t="shared" si="0"/>
        <v>647448</v>
      </c>
      <c r="G20" s="58">
        <f>H20+I20+J20+K20+L20+M20</f>
        <v>245437</v>
      </c>
      <c r="H20" s="58">
        <f t="shared" si="1"/>
        <v>0</v>
      </c>
      <c r="I20" s="58">
        <f t="shared" si="1"/>
        <v>0</v>
      </c>
      <c r="J20" s="58">
        <f t="shared" si="1"/>
        <v>202077</v>
      </c>
      <c r="K20" s="58">
        <f t="shared" si="1"/>
        <v>0</v>
      </c>
      <c r="L20" s="58">
        <f>L23+L26+L29</f>
        <v>24934</v>
      </c>
      <c r="M20" s="58">
        <f>M23+M26+M29</f>
        <v>18426</v>
      </c>
      <c r="N20" s="37"/>
    </row>
    <row r="21" spans="1:14" s="38" customFormat="1" ht="18.75" customHeight="1">
      <c r="A21" s="59"/>
      <c r="B21" s="182"/>
      <c r="C21" s="60"/>
      <c r="D21" s="60"/>
      <c r="E21" s="60"/>
      <c r="F21" s="60"/>
      <c r="G21" s="60"/>
      <c r="H21" s="60"/>
      <c r="I21" s="60"/>
      <c r="J21" s="60"/>
      <c r="K21" s="60"/>
      <c r="L21" s="60"/>
      <c r="M21" s="60"/>
      <c r="N21" s="37"/>
    </row>
    <row r="22" spans="1:14" s="38" customFormat="1" ht="18.75" customHeight="1">
      <c r="A22" s="28" t="s">
        <v>170</v>
      </c>
      <c r="B22" s="61" t="s">
        <v>171</v>
      </c>
      <c r="C22" s="58">
        <f aca="true" t="shared" si="2" ref="C22:M22">C37+C54+C72+C173+C194+C217+C239+C297+C320+C344+C386+C536</f>
        <v>363633</v>
      </c>
      <c r="D22" s="58">
        <f t="shared" si="2"/>
        <v>373551</v>
      </c>
      <c r="E22" s="58">
        <f t="shared" si="2"/>
        <v>42779</v>
      </c>
      <c r="F22" s="58">
        <f t="shared" si="2"/>
        <v>331185</v>
      </c>
      <c r="G22" s="58">
        <f t="shared" si="2"/>
        <v>224521</v>
      </c>
      <c r="H22" s="58">
        <f t="shared" si="2"/>
        <v>0</v>
      </c>
      <c r="I22" s="58">
        <f t="shared" si="2"/>
        <v>0</v>
      </c>
      <c r="J22" s="58">
        <f t="shared" si="2"/>
        <v>190121</v>
      </c>
      <c r="K22" s="58">
        <f t="shared" si="2"/>
        <v>0</v>
      </c>
      <c r="L22" s="58">
        <f t="shared" si="2"/>
        <v>12373</v>
      </c>
      <c r="M22" s="58">
        <f t="shared" si="2"/>
        <v>22027</v>
      </c>
      <c r="N22" s="37"/>
    </row>
    <row r="23" spans="1:14" s="38" customFormat="1" ht="18.75" customHeight="1">
      <c r="A23" s="28"/>
      <c r="B23" s="62" t="s">
        <v>172</v>
      </c>
      <c r="C23" s="58">
        <f aca="true" t="shared" si="3" ref="C23:M23">C38+C55+C73+C174+C195+C218+C240+C298+C387+C321+C345+C537</f>
        <v>292543</v>
      </c>
      <c r="D23" s="58">
        <f t="shared" si="3"/>
        <v>285667</v>
      </c>
      <c r="E23" s="58">
        <f t="shared" si="3"/>
        <v>26087</v>
      </c>
      <c r="F23" s="58">
        <f t="shared" si="3"/>
        <v>259880</v>
      </c>
      <c r="G23" s="58">
        <f t="shared" si="3"/>
        <v>180608</v>
      </c>
      <c r="H23" s="58">
        <f t="shared" si="3"/>
        <v>0</v>
      </c>
      <c r="I23" s="58">
        <f t="shared" si="3"/>
        <v>0</v>
      </c>
      <c r="J23" s="58">
        <f t="shared" si="3"/>
        <v>159201</v>
      </c>
      <c r="K23" s="58">
        <f t="shared" si="3"/>
        <v>0</v>
      </c>
      <c r="L23" s="58">
        <f t="shared" si="3"/>
        <v>2981</v>
      </c>
      <c r="M23" s="58">
        <f t="shared" si="3"/>
        <v>18426</v>
      </c>
      <c r="N23" s="37"/>
    </row>
    <row r="24" spans="1:14" s="38" customFormat="1" ht="18.75" customHeight="1">
      <c r="A24" s="28"/>
      <c r="B24" s="192"/>
      <c r="C24" s="63"/>
      <c r="D24" s="63"/>
      <c r="E24" s="63"/>
      <c r="F24" s="63"/>
      <c r="G24" s="63"/>
      <c r="H24" s="63"/>
      <c r="I24" s="63"/>
      <c r="J24" s="63"/>
      <c r="K24" s="63"/>
      <c r="L24" s="63"/>
      <c r="M24" s="63"/>
      <c r="N24" s="37"/>
    </row>
    <row r="25" spans="1:14" s="38" customFormat="1" ht="18.75" customHeight="1">
      <c r="A25" s="28" t="s">
        <v>173</v>
      </c>
      <c r="B25" s="193" t="s">
        <v>171</v>
      </c>
      <c r="C25" s="58">
        <f aca="true" t="shared" si="4" ref="C25:M25">C40+C57+C124+C176+C200+C220+C247+C303+C465+C328+C350+C539</f>
        <v>563798</v>
      </c>
      <c r="D25" s="58">
        <f t="shared" si="4"/>
        <v>563772</v>
      </c>
      <c r="E25" s="58">
        <f t="shared" si="4"/>
        <v>89080</v>
      </c>
      <c r="F25" s="58">
        <f t="shared" si="4"/>
        <v>474692</v>
      </c>
      <c r="G25" s="58">
        <f t="shared" si="4"/>
        <v>79758</v>
      </c>
      <c r="H25" s="58">
        <f t="shared" si="4"/>
        <v>0</v>
      </c>
      <c r="I25" s="58">
        <f t="shared" si="4"/>
        <v>0</v>
      </c>
      <c r="J25" s="58">
        <f t="shared" si="4"/>
        <v>49518</v>
      </c>
      <c r="K25" s="58">
        <f t="shared" si="4"/>
        <v>0</v>
      </c>
      <c r="L25" s="58">
        <f t="shared" si="4"/>
        <v>30240</v>
      </c>
      <c r="M25" s="58">
        <f t="shared" si="4"/>
        <v>0</v>
      </c>
      <c r="N25" s="37"/>
    </row>
    <row r="26" spans="1:14" s="38" customFormat="1" ht="18.75" customHeight="1">
      <c r="A26" s="28"/>
      <c r="B26" s="62" t="s">
        <v>174</v>
      </c>
      <c r="C26" s="58">
        <f aca="true" t="shared" si="5" ref="C26:M26">C41+C58+C125+C177+C201+C221+C248+C304+C466+C329+C351+C540</f>
        <v>387553</v>
      </c>
      <c r="D26" s="58">
        <f t="shared" si="5"/>
        <v>387568</v>
      </c>
      <c r="E26" s="58">
        <f t="shared" si="5"/>
        <v>0</v>
      </c>
      <c r="F26" s="58">
        <f t="shared" si="5"/>
        <v>387568</v>
      </c>
      <c r="G26" s="58">
        <f t="shared" si="5"/>
        <v>64829</v>
      </c>
      <c r="H26" s="58">
        <f t="shared" si="5"/>
        <v>0</v>
      </c>
      <c r="I26" s="58">
        <f t="shared" si="5"/>
        <v>0</v>
      </c>
      <c r="J26" s="58">
        <f t="shared" si="5"/>
        <v>42876</v>
      </c>
      <c r="K26" s="58">
        <f t="shared" si="5"/>
        <v>0</v>
      </c>
      <c r="L26" s="58">
        <f t="shared" si="5"/>
        <v>21953</v>
      </c>
      <c r="M26" s="58">
        <f t="shared" si="5"/>
        <v>0</v>
      </c>
      <c r="N26" s="37"/>
    </row>
    <row r="27" spans="1:14" s="64" customFormat="1" ht="18.75" customHeight="1">
      <c r="A27" s="28"/>
      <c r="B27" s="192"/>
      <c r="C27" s="63"/>
      <c r="D27" s="63"/>
      <c r="E27" s="63"/>
      <c r="F27" s="63"/>
      <c r="G27" s="63"/>
      <c r="H27" s="63"/>
      <c r="I27" s="63"/>
      <c r="J27" s="63"/>
      <c r="K27" s="63"/>
      <c r="L27" s="63"/>
      <c r="M27" s="63"/>
      <c r="N27" s="37"/>
    </row>
    <row r="28" spans="1:14" s="66" customFormat="1" ht="18.75" customHeight="1">
      <c r="A28" s="28" t="s">
        <v>175</v>
      </c>
      <c r="B28" s="193" t="s">
        <v>266</v>
      </c>
      <c r="C28" s="58">
        <f aca="true" t="shared" si="6" ref="C28:M28">C43+C60+C146+C182+C206+C225+C272+C309+C524+C334+C365+C542</f>
        <v>310654</v>
      </c>
      <c r="D28" s="58">
        <f t="shared" si="6"/>
        <v>310654</v>
      </c>
      <c r="E28" s="58">
        <f t="shared" si="6"/>
        <v>15823</v>
      </c>
      <c r="F28" s="58">
        <f t="shared" si="6"/>
        <v>294831</v>
      </c>
      <c r="G28" s="58">
        <f t="shared" si="6"/>
        <v>247724</v>
      </c>
      <c r="H28" s="58">
        <f t="shared" si="6"/>
        <v>0</v>
      </c>
      <c r="I28" s="58">
        <f t="shared" si="6"/>
        <v>4258</v>
      </c>
      <c r="J28" s="58">
        <f t="shared" si="6"/>
        <v>128221</v>
      </c>
      <c r="K28" s="58">
        <f t="shared" si="6"/>
        <v>23404</v>
      </c>
      <c r="L28" s="58">
        <f t="shared" si="6"/>
        <v>91841</v>
      </c>
      <c r="M28" s="58">
        <f t="shared" si="6"/>
        <v>0</v>
      </c>
      <c r="N28" s="65"/>
    </row>
    <row r="29" spans="1:14" s="66" customFormat="1" ht="18.75" customHeight="1">
      <c r="A29" s="67"/>
      <c r="B29" s="62" t="s">
        <v>176</v>
      </c>
      <c r="C29" s="58">
        <f>0</f>
        <v>0</v>
      </c>
      <c r="D29" s="58">
        <f>0</f>
        <v>0</v>
      </c>
      <c r="E29" s="58">
        <f>0</f>
        <v>0</v>
      </c>
      <c r="F29" s="58">
        <f>0</f>
        <v>0</v>
      </c>
      <c r="G29" s="58">
        <f>0</f>
        <v>0</v>
      </c>
      <c r="H29" s="58">
        <f>0</f>
        <v>0</v>
      </c>
      <c r="I29" s="58">
        <f>0</f>
        <v>0</v>
      </c>
      <c r="J29" s="58">
        <f>0</f>
        <v>0</v>
      </c>
      <c r="K29" s="58">
        <f>0</f>
        <v>0</v>
      </c>
      <c r="L29" s="58">
        <f>0</f>
        <v>0</v>
      </c>
      <c r="M29" s="58">
        <f>0</f>
        <v>0</v>
      </c>
      <c r="N29" s="65"/>
    </row>
    <row r="30" spans="1:14" s="69" customFormat="1" ht="20.25" customHeight="1">
      <c r="A30" s="67"/>
      <c r="B30" s="57"/>
      <c r="C30" s="60"/>
      <c r="D30" s="60"/>
      <c r="E30" s="60"/>
      <c r="F30" s="60"/>
      <c r="G30" s="10"/>
      <c r="H30" s="10"/>
      <c r="I30" s="10"/>
      <c r="J30" s="10"/>
      <c r="K30" s="10"/>
      <c r="L30" s="10"/>
      <c r="M30" s="10"/>
      <c r="N30" s="68"/>
    </row>
    <row r="31" spans="1:14" s="69" customFormat="1" ht="16.5" customHeight="1">
      <c r="A31" s="67"/>
      <c r="B31" s="57"/>
      <c r="C31" s="60"/>
      <c r="D31" s="24"/>
      <c r="E31" s="24"/>
      <c r="F31" s="24"/>
      <c r="G31" s="10"/>
      <c r="H31" s="10"/>
      <c r="I31" s="10"/>
      <c r="J31" s="10"/>
      <c r="K31" s="60"/>
      <c r="L31" s="60"/>
      <c r="M31" s="60"/>
      <c r="N31" s="68"/>
    </row>
    <row r="32" spans="1:14" s="69" customFormat="1" ht="13.5" customHeight="1">
      <c r="A32" s="67"/>
      <c r="B32" s="57"/>
      <c r="C32" s="60"/>
      <c r="D32" s="24"/>
      <c r="E32" s="24"/>
      <c r="F32" s="24"/>
      <c r="G32" s="10"/>
      <c r="H32" s="10"/>
      <c r="I32" s="10"/>
      <c r="J32" s="10"/>
      <c r="K32" s="60"/>
      <c r="L32" s="60"/>
      <c r="M32" s="60"/>
      <c r="N32" s="68"/>
    </row>
    <row r="33" spans="1:14" s="70" customFormat="1" ht="40.5" customHeight="1">
      <c r="A33" s="21"/>
      <c r="B33" s="22" t="s">
        <v>177</v>
      </c>
      <c r="C33" s="23" t="s">
        <v>264</v>
      </c>
      <c r="D33" s="24"/>
      <c r="E33" s="24"/>
      <c r="F33" s="24"/>
      <c r="G33" s="10"/>
      <c r="H33" s="10"/>
      <c r="I33" s="10"/>
      <c r="J33" s="10"/>
      <c r="K33" s="10"/>
      <c r="L33" s="10"/>
      <c r="M33" s="10" t="s">
        <v>185</v>
      </c>
      <c r="N33" s="33"/>
    </row>
    <row r="34" spans="1:14" s="70" customFormat="1" ht="25.5" customHeight="1">
      <c r="A34" s="25"/>
      <c r="B34" s="26" t="s">
        <v>178</v>
      </c>
      <c r="C34" s="58">
        <f>C37+C40+C43</f>
        <v>19490</v>
      </c>
      <c r="D34" s="58">
        <f aca="true" t="shared" si="7" ref="D34:M34">D37+D40+D43</f>
        <v>19490</v>
      </c>
      <c r="E34" s="58">
        <f t="shared" si="7"/>
        <v>968</v>
      </c>
      <c r="F34" s="58">
        <f t="shared" si="7"/>
        <v>18522</v>
      </c>
      <c r="G34" s="58">
        <f t="shared" si="7"/>
        <v>18522</v>
      </c>
      <c r="H34" s="58">
        <f t="shared" si="7"/>
        <v>0</v>
      </c>
      <c r="I34" s="58">
        <f t="shared" si="7"/>
        <v>0</v>
      </c>
      <c r="J34" s="58">
        <f t="shared" si="7"/>
        <v>2579</v>
      </c>
      <c r="K34" s="58">
        <f t="shared" si="7"/>
        <v>0</v>
      </c>
      <c r="L34" s="58">
        <f t="shared" si="7"/>
        <v>15943</v>
      </c>
      <c r="M34" s="58">
        <f t="shared" si="7"/>
        <v>0</v>
      </c>
      <c r="N34" s="33"/>
    </row>
    <row r="35" spans="1:14" s="70" customFormat="1" ht="25.5" customHeight="1">
      <c r="A35" s="28"/>
      <c r="B35" s="29"/>
      <c r="C35" s="58">
        <f>C38+C41+C44</f>
        <v>0</v>
      </c>
      <c r="D35" s="58">
        <f aca="true" t="shared" si="8" ref="D35:M35">D38+D41+D44</f>
        <v>0</v>
      </c>
      <c r="E35" s="58">
        <f t="shared" si="8"/>
        <v>0</v>
      </c>
      <c r="F35" s="58">
        <f t="shared" si="8"/>
        <v>0</v>
      </c>
      <c r="G35" s="58">
        <f t="shared" si="8"/>
        <v>0</v>
      </c>
      <c r="H35" s="58">
        <f t="shared" si="8"/>
        <v>0</v>
      </c>
      <c r="I35" s="58">
        <f t="shared" si="8"/>
        <v>0</v>
      </c>
      <c r="J35" s="58">
        <f t="shared" si="8"/>
        <v>0</v>
      </c>
      <c r="K35" s="58">
        <f t="shared" si="8"/>
        <v>0</v>
      </c>
      <c r="L35" s="58">
        <f t="shared" si="8"/>
        <v>0</v>
      </c>
      <c r="M35" s="58">
        <f t="shared" si="8"/>
        <v>0</v>
      </c>
      <c r="N35" s="33"/>
    </row>
    <row r="36" spans="1:14" s="70" customFormat="1" ht="18" customHeight="1">
      <c r="A36" s="59"/>
      <c r="B36" s="182"/>
      <c r="C36" s="24"/>
      <c r="D36" s="24"/>
      <c r="E36" s="24"/>
      <c r="F36" s="24"/>
      <c r="G36" s="184"/>
      <c r="H36" s="24"/>
      <c r="I36" s="24"/>
      <c r="J36" s="24"/>
      <c r="K36" s="24"/>
      <c r="L36" s="24"/>
      <c r="M36" s="24"/>
      <c r="N36" s="33"/>
    </row>
    <row r="37" spans="1:14" s="70" customFormat="1" ht="25.5" customHeight="1">
      <c r="A37" s="28" t="s">
        <v>170</v>
      </c>
      <c r="B37" s="61" t="s">
        <v>171</v>
      </c>
      <c r="C37" s="71">
        <v>0</v>
      </c>
      <c r="D37" s="71">
        <v>0</v>
      </c>
      <c r="E37" s="71">
        <v>0</v>
      </c>
      <c r="F37" s="71">
        <f>D37-E37</f>
        <v>0</v>
      </c>
      <c r="G37" s="71">
        <f>SUM(H37:M37)</f>
        <v>0</v>
      </c>
      <c r="H37" s="71">
        <v>0</v>
      </c>
      <c r="I37" s="71">
        <v>0</v>
      </c>
      <c r="J37" s="71">
        <v>0</v>
      </c>
      <c r="K37" s="71">
        <v>0</v>
      </c>
      <c r="L37" s="71">
        <v>0</v>
      </c>
      <c r="M37" s="71">
        <v>0</v>
      </c>
      <c r="N37" s="33"/>
    </row>
    <row r="38" spans="1:14" s="70" customFormat="1" ht="25.5" customHeight="1">
      <c r="A38" s="28"/>
      <c r="B38" s="62" t="s">
        <v>172</v>
      </c>
      <c r="C38" s="71">
        <v>0</v>
      </c>
      <c r="D38" s="71">
        <v>0</v>
      </c>
      <c r="E38" s="71">
        <v>0</v>
      </c>
      <c r="F38" s="71">
        <f>D38-E38</f>
        <v>0</v>
      </c>
      <c r="G38" s="71">
        <f>SUM(H38:M38)</f>
        <v>0</v>
      </c>
      <c r="H38" s="71">
        <v>0</v>
      </c>
      <c r="I38" s="71">
        <v>0</v>
      </c>
      <c r="J38" s="71">
        <v>0</v>
      </c>
      <c r="K38" s="71">
        <v>0</v>
      </c>
      <c r="L38" s="71">
        <v>0</v>
      </c>
      <c r="M38" s="71">
        <v>0</v>
      </c>
      <c r="N38" s="33"/>
    </row>
    <row r="39" spans="1:14" s="70" customFormat="1" ht="18.75" customHeight="1">
      <c r="A39" s="28"/>
      <c r="B39" s="182"/>
      <c r="C39" s="24"/>
      <c r="D39" s="24"/>
      <c r="E39" s="24"/>
      <c r="F39" s="24"/>
      <c r="G39" s="184"/>
      <c r="H39" s="24"/>
      <c r="I39" s="24"/>
      <c r="J39" s="60"/>
      <c r="K39" s="60"/>
      <c r="L39" s="24"/>
      <c r="M39" s="24"/>
      <c r="N39" s="33"/>
    </row>
    <row r="40" spans="1:14" s="70" customFormat="1" ht="25.5" customHeight="1">
      <c r="A40" s="28" t="s">
        <v>173</v>
      </c>
      <c r="B40" s="61" t="s">
        <v>179</v>
      </c>
      <c r="C40" s="71">
        <v>0</v>
      </c>
      <c r="D40" s="71">
        <v>0</v>
      </c>
      <c r="E40" s="71">
        <v>0</v>
      </c>
      <c r="F40" s="71">
        <f>D40-E40</f>
        <v>0</v>
      </c>
      <c r="G40" s="71">
        <f>SUM(H40:M40)</f>
        <v>0</v>
      </c>
      <c r="H40" s="71">
        <v>0</v>
      </c>
      <c r="I40" s="71">
        <v>0</v>
      </c>
      <c r="J40" s="71">
        <v>0</v>
      </c>
      <c r="K40" s="71">
        <v>0</v>
      </c>
      <c r="L40" s="71">
        <v>0</v>
      </c>
      <c r="M40" s="71">
        <v>0</v>
      </c>
      <c r="N40" s="33"/>
    </row>
    <row r="41" spans="1:14" s="70" customFormat="1" ht="25.5" customHeight="1">
      <c r="A41" s="28"/>
      <c r="B41" s="62" t="s">
        <v>174</v>
      </c>
      <c r="C41" s="71">
        <v>0</v>
      </c>
      <c r="D41" s="71">
        <v>0</v>
      </c>
      <c r="E41" s="71">
        <v>0</v>
      </c>
      <c r="F41" s="71">
        <f>D41-E41</f>
        <v>0</v>
      </c>
      <c r="G41" s="71">
        <f>SUM(H41:M41)</f>
        <v>0</v>
      </c>
      <c r="H41" s="71">
        <v>0</v>
      </c>
      <c r="I41" s="71">
        <v>0</v>
      </c>
      <c r="J41" s="71">
        <v>0</v>
      </c>
      <c r="K41" s="71">
        <v>0</v>
      </c>
      <c r="L41" s="71">
        <v>0</v>
      </c>
      <c r="M41" s="71">
        <v>0</v>
      </c>
      <c r="N41" s="33"/>
    </row>
    <row r="42" spans="1:14" s="70" customFormat="1" ht="16.5" customHeight="1">
      <c r="A42" s="28"/>
      <c r="B42" s="57"/>
      <c r="C42" s="60"/>
      <c r="D42" s="60"/>
      <c r="E42" s="60"/>
      <c r="F42" s="60"/>
      <c r="G42" s="60"/>
      <c r="H42" s="60"/>
      <c r="I42" s="60"/>
      <c r="J42" s="60"/>
      <c r="K42" s="60"/>
      <c r="L42" s="60"/>
      <c r="M42" s="60"/>
      <c r="N42" s="33"/>
    </row>
    <row r="43" spans="1:14" s="70" customFormat="1" ht="25.5" customHeight="1">
      <c r="A43" s="28" t="s">
        <v>175</v>
      </c>
      <c r="B43" s="61" t="s">
        <v>276</v>
      </c>
      <c r="C43" s="71">
        <f>C46+C47+C48</f>
        <v>19490</v>
      </c>
      <c r="D43" s="71">
        <f aca="true" t="shared" si="9" ref="D43:M43">D46+D47+D48</f>
        <v>19490</v>
      </c>
      <c r="E43" s="71">
        <f t="shared" si="9"/>
        <v>968</v>
      </c>
      <c r="F43" s="71">
        <f t="shared" si="9"/>
        <v>18522</v>
      </c>
      <c r="G43" s="71">
        <f t="shared" si="9"/>
        <v>18522</v>
      </c>
      <c r="H43" s="71">
        <f t="shared" si="9"/>
        <v>0</v>
      </c>
      <c r="I43" s="71">
        <f t="shared" si="9"/>
        <v>0</v>
      </c>
      <c r="J43" s="71">
        <f t="shared" si="9"/>
        <v>2579</v>
      </c>
      <c r="K43" s="71">
        <f t="shared" si="9"/>
        <v>0</v>
      </c>
      <c r="L43" s="71">
        <f t="shared" si="9"/>
        <v>15943</v>
      </c>
      <c r="M43" s="71">
        <f t="shared" si="9"/>
        <v>0</v>
      </c>
      <c r="N43" s="33"/>
    </row>
    <row r="44" spans="1:14" s="70" customFormat="1" ht="25.5" customHeight="1">
      <c r="A44" s="28"/>
      <c r="B44" s="62" t="s">
        <v>181</v>
      </c>
      <c r="C44" s="60"/>
      <c r="D44" s="60"/>
      <c r="E44" s="60"/>
      <c r="F44" s="60"/>
      <c r="G44" s="60"/>
      <c r="H44" s="60"/>
      <c r="I44" s="60"/>
      <c r="J44" s="60"/>
      <c r="K44" s="60"/>
      <c r="L44" s="60"/>
      <c r="M44" s="60"/>
      <c r="N44" s="33"/>
    </row>
    <row r="45" spans="1:14" s="70" customFormat="1" ht="25.5" customHeight="1">
      <c r="A45" s="59"/>
      <c r="B45" s="26" t="s">
        <v>178</v>
      </c>
      <c r="C45" s="24"/>
      <c r="D45" s="14"/>
      <c r="E45" s="14"/>
      <c r="F45" s="14"/>
      <c r="G45" s="14"/>
      <c r="H45" s="14"/>
      <c r="I45" s="14"/>
      <c r="J45" s="14"/>
      <c r="K45" s="14"/>
      <c r="L45" s="24"/>
      <c r="M45" s="24"/>
      <c r="N45" s="33"/>
    </row>
    <row r="46" spans="1:14" s="70" customFormat="1" ht="25.5" customHeight="1">
      <c r="A46" s="72"/>
      <c r="B46" s="34" t="s">
        <v>152</v>
      </c>
      <c r="C46" s="24">
        <f>'Studii si proiecte 2022'!D33</f>
        <v>7674</v>
      </c>
      <c r="D46" s="24">
        <f>'Studii si proiecte 2022'!E33</f>
        <v>7674</v>
      </c>
      <c r="E46" s="24">
        <f>'Studii si proiecte 2022'!F33</f>
        <v>722</v>
      </c>
      <c r="F46" s="24">
        <f>'Studii si proiecte 2022'!G33</f>
        <v>6952</v>
      </c>
      <c r="G46" s="24">
        <f>'Studii si proiecte 2022'!H33</f>
        <v>6952</v>
      </c>
      <c r="H46" s="24">
        <f>'Studii si proiecte 2022'!I33</f>
        <v>0</v>
      </c>
      <c r="I46" s="24">
        <f>'Studii si proiecte 2022'!J33</f>
        <v>0</v>
      </c>
      <c r="J46" s="24">
        <f>'Studii si proiecte 2022'!K33</f>
        <v>0</v>
      </c>
      <c r="K46" s="24">
        <f>'Studii si proiecte 2022'!L33</f>
        <v>0</v>
      </c>
      <c r="L46" s="24">
        <f>'Studii si proiecte 2022'!M33</f>
        <v>6952</v>
      </c>
      <c r="M46" s="24">
        <f>'Studii si proiecte 2022'!N33</f>
        <v>0</v>
      </c>
      <c r="N46" s="33"/>
    </row>
    <row r="47" spans="1:14" s="70" customFormat="1" ht="25.5" customHeight="1">
      <c r="A47" s="73"/>
      <c r="B47" s="194" t="s">
        <v>267</v>
      </c>
      <c r="C47" s="74">
        <f>'Dotari 2022'!D25</f>
        <v>11816</v>
      </c>
      <c r="D47" s="74">
        <f>'Dotari 2022'!E25</f>
        <v>11816</v>
      </c>
      <c r="E47" s="74">
        <f>'Dotari 2022'!F25</f>
        <v>246</v>
      </c>
      <c r="F47" s="74">
        <f>'Dotari 2022'!G25</f>
        <v>11570</v>
      </c>
      <c r="G47" s="74">
        <f>'Dotari 2022'!H25</f>
        <v>11570</v>
      </c>
      <c r="H47" s="74">
        <f>'Dotari 2022'!I25</f>
        <v>0</v>
      </c>
      <c r="I47" s="74">
        <f>'Dotari 2022'!J25</f>
        <v>0</v>
      </c>
      <c r="J47" s="74">
        <f>'Dotari 2022'!K25</f>
        <v>2579</v>
      </c>
      <c r="K47" s="74">
        <f>'Dotari 2022'!L25</f>
        <v>0</v>
      </c>
      <c r="L47" s="74">
        <f>'Dotari 2022'!M25</f>
        <v>8991</v>
      </c>
      <c r="M47" s="74">
        <f>'Dotari 2022'!N25</f>
        <v>0</v>
      </c>
      <c r="N47" s="33"/>
    </row>
    <row r="48" spans="1:14" s="70" customFormat="1" ht="25.5" customHeight="1">
      <c r="A48" s="73"/>
      <c r="B48" s="194" t="s">
        <v>262</v>
      </c>
      <c r="C48" s="74">
        <f>'Alte chelt 2022'!D12</f>
        <v>0</v>
      </c>
      <c r="D48" s="74">
        <f>'Alte chelt 2022'!E12</f>
        <v>0</v>
      </c>
      <c r="E48" s="74">
        <f>'Alte chelt 2022'!F12</f>
        <v>0</v>
      </c>
      <c r="F48" s="74">
        <f>'Alte chelt 2022'!G12</f>
        <v>0</v>
      </c>
      <c r="G48" s="74">
        <f>'Alte chelt 2022'!H12</f>
        <v>0</v>
      </c>
      <c r="H48" s="74">
        <f>'Alte chelt 2022'!I12</f>
        <v>0</v>
      </c>
      <c r="I48" s="74">
        <f>'Alte chelt 2022'!J12</f>
        <v>0</v>
      </c>
      <c r="J48" s="74">
        <f>'Alte chelt 2022'!K12</f>
        <v>0</v>
      </c>
      <c r="K48" s="74">
        <f>'Alte chelt 2022'!L12</f>
        <v>0</v>
      </c>
      <c r="L48" s="74">
        <f>'Alte chelt 2022'!M12</f>
        <v>0</v>
      </c>
      <c r="M48" s="74">
        <f>'Alte chelt 2022'!N12</f>
        <v>0</v>
      </c>
      <c r="N48" s="33"/>
    </row>
    <row r="49" spans="1:14" s="70" customFormat="1" ht="62.25" customHeight="1">
      <c r="A49" s="73"/>
      <c r="B49" s="194"/>
      <c r="C49" s="74"/>
      <c r="D49" s="74"/>
      <c r="E49" s="74"/>
      <c r="F49" s="74"/>
      <c r="G49" s="74"/>
      <c r="H49" s="74"/>
      <c r="I49" s="74"/>
      <c r="J49" s="74"/>
      <c r="K49" s="74"/>
      <c r="L49" s="74"/>
      <c r="M49" s="74"/>
      <c r="N49" s="33"/>
    </row>
    <row r="50" spans="1:14" s="16" customFormat="1" ht="40.5" customHeight="1">
      <c r="A50" s="21"/>
      <c r="B50" s="213" t="s">
        <v>235</v>
      </c>
      <c r="C50" s="23" t="s">
        <v>236</v>
      </c>
      <c r="D50" s="24"/>
      <c r="E50" s="24"/>
      <c r="F50" s="24"/>
      <c r="G50" s="10"/>
      <c r="H50" s="10"/>
      <c r="I50" s="10"/>
      <c r="J50" s="10"/>
      <c r="K50" s="10"/>
      <c r="L50" s="10"/>
      <c r="M50" s="10" t="s">
        <v>185</v>
      </c>
      <c r="N50" s="33"/>
    </row>
    <row r="51" spans="1:14" s="16" customFormat="1" ht="22.5" customHeight="1">
      <c r="A51" s="25"/>
      <c r="B51" s="26" t="s">
        <v>178</v>
      </c>
      <c r="C51" s="27">
        <f>C54+C57+C60</f>
        <v>2452</v>
      </c>
      <c r="D51" s="27">
        <f aca="true" t="shared" si="10" ref="D51:M51">D54+D57+D60</f>
        <v>2452</v>
      </c>
      <c r="E51" s="27">
        <f t="shared" si="10"/>
        <v>0</v>
      </c>
      <c r="F51" s="27">
        <f t="shared" si="10"/>
        <v>2452</v>
      </c>
      <c r="G51" s="27">
        <f t="shared" si="10"/>
        <v>2452</v>
      </c>
      <c r="H51" s="27">
        <f t="shared" si="10"/>
        <v>0</v>
      </c>
      <c r="I51" s="27">
        <f t="shared" si="10"/>
        <v>0</v>
      </c>
      <c r="J51" s="27">
        <f t="shared" si="10"/>
        <v>0</v>
      </c>
      <c r="K51" s="27">
        <f t="shared" si="10"/>
        <v>0</v>
      </c>
      <c r="L51" s="27">
        <f t="shared" si="10"/>
        <v>2452</v>
      </c>
      <c r="M51" s="27">
        <f t="shared" si="10"/>
        <v>0</v>
      </c>
      <c r="N51" s="33"/>
    </row>
    <row r="52" spans="1:14" s="16" customFormat="1" ht="22.5" customHeight="1">
      <c r="A52" s="28"/>
      <c r="B52" s="29"/>
      <c r="C52" s="27">
        <f>C55+C58+C61</f>
        <v>0</v>
      </c>
      <c r="D52" s="27">
        <f aca="true" t="shared" si="11" ref="D52:M52">D55+D58+D61</f>
        <v>0</v>
      </c>
      <c r="E52" s="27">
        <f t="shared" si="11"/>
        <v>0</v>
      </c>
      <c r="F52" s="27">
        <f t="shared" si="11"/>
        <v>0</v>
      </c>
      <c r="G52" s="27">
        <f t="shared" si="11"/>
        <v>0</v>
      </c>
      <c r="H52" s="27">
        <f t="shared" si="11"/>
        <v>0</v>
      </c>
      <c r="I52" s="27">
        <f t="shared" si="11"/>
        <v>0</v>
      </c>
      <c r="J52" s="27">
        <f t="shared" si="11"/>
        <v>0</v>
      </c>
      <c r="K52" s="27">
        <f t="shared" si="11"/>
        <v>0</v>
      </c>
      <c r="L52" s="27">
        <f t="shared" si="11"/>
        <v>0</v>
      </c>
      <c r="M52" s="27">
        <f t="shared" si="11"/>
        <v>0</v>
      </c>
      <c r="N52" s="33"/>
    </row>
    <row r="53" spans="1:14" s="16" customFormat="1" ht="22.5" customHeight="1">
      <c r="A53" s="28"/>
      <c r="B53" s="29"/>
      <c r="C53" s="75"/>
      <c r="D53" s="75"/>
      <c r="E53" s="75"/>
      <c r="F53" s="75"/>
      <c r="G53" s="75"/>
      <c r="H53" s="75"/>
      <c r="I53" s="75"/>
      <c r="J53" s="75"/>
      <c r="K53" s="75"/>
      <c r="L53" s="75"/>
      <c r="M53" s="75"/>
      <c r="N53" s="33"/>
    </row>
    <row r="54" spans="1:14" s="16" customFormat="1" ht="22.5" customHeight="1">
      <c r="A54" s="28" t="s">
        <v>170</v>
      </c>
      <c r="B54" s="61" t="s">
        <v>171</v>
      </c>
      <c r="C54" s="11">
        <v>0</v>
      </c>
      <c r="D54" s="11">
        <v>0</v>
      </c>
      <c r="E54" s="11">
        <v>0</v>
      </c>
      <c r="F54" s="11">
        <f>D54-E54</f>
        <v>0</v>
      </c>
      <c r="G54" s="11">
        <f>SUM(H54:M54)</f>
        <v>0</v>
      </c>
      <c r="H54" s="11">
        <v>0</v>
      </c>
      <c r="I54" s="11">
        <v>0</v>
      </c>
      <c r="J54" s="11">
        <v>0</v>
      </c>
      <c r="K54" s="11">
        <v>0</v>
      </c>
      <c r="L54" s="11">
        <v>0</v>
      </c>
      <c r="M54" s="11">
        <v>0</v>
      </c>
      <c r="N54" s="33"/>
    </row>
    <row r="55" spans="1:14" s="16" customFormat="1" ht="22.5" customHeight="1">
      <c r="A55" s="28"/>
      <c r="B55" s="62" t="s">
        <v>172</v>
      </c>
      <c r="C55" s="11">
        <v>0</v>
      </c>
      <c r="D55" s="11">
        <v>0</v>
      </c>
      <c r="E55" s="11">
        <v>0</v>
      </c>
      <c r="F55" s="11">
        <f>D55-E55</f>
        <v>0</v>
      </c>
      <c r="G55" s="11">
        <f>SUM(H55:M55)</f>
        <v>0</v>
      </c>
      <c r="H55" s="11">
        <v>0</v>
      </c>
      <c r="I55" s="11">
        <v>0</v>
      </c>
      <c r="J55" s="11">
        <v>0</v>
      </c>
      <c r="K55" s="11">
        <v>0</v>
      </c>
      <c r="L55" s="11">
        <v>0</v>
      </c>
      <c r="M55" s="11">
        <v>0</v>
      </c>
      <c r="N55" s="33"/>
    </row>
    <row r="56" spans="1:14" s="16" customFormat="1" ht="22.5" customHeight="1">
      <c r="A56" s="73"/>
      <c r="B56" s="194"/>
      <c r="C56" s="76"/>
      <c r="D56" s="76"/>
      <c r="E56" s="76"/>
      <c r="F56" s="76"/>
      <c r="G56" s="76"/>
      <c r="H56" s="76"/>
      <c r="I56" s="76"/>
      <c r="J56" s="76"/>
      <c r="K56" s="76"/>
      <c r="L56" s="76"/>
      <c r="M56" s="76"/>
      <c r="N56" s="33"/>
    </row>
    <row r="57" spans="1:14" s="16" customFormat="1" ht="22.5" customHeight="1">
      <c r="A57" s="28" t="s">
        <v>173</v>
      </c>
      <c r="B57" s="61" t="s">
        <v>179</v>
      </c>
      <c r="C57" s="11">
        <v>0</v>
      </c>
      <c r="D57" s="11">
        <v>0</v>
      </c>
      <c r="E57" s="11">
        <v>0</v>
      </c>
      <c r="F57" s="11">
        <f>D57-E57</f>
        <v>0</v>
      </c>
      <c r="G57" s="11">
        <f>SUM(H57:M57)</f>
        <v>0</v>
      </c>
      <c r="H57" s="11">
        <v>0</v>
      </c>
      <c r="I57" s="11">
        <v>0</v>
      </c>
      <c r="J57" s="11">
        <v>0</v>
      </c>
      <c r="K57" s="11">
        <v>0</v>
      </c>
      <c r="L57" s="11">
        <v>0</v>
      </c>
      <c r="M57" s="11">
        <v>0</v>
      </c>
      <c r="N57" s="33"/>
    </row>
    <row r="58" spans="1:14" s="16" customFormat="1" ht="22.5" customHeight="1">
      <c r="A58" s="28"/>
      <c r="B58" s="62" t="s">
        <v>174</v>
      </c>
      <c r="C58" s="11">
        <v>0</v>
      </c>
      <c r="D58" s="11">
        <v>0</v>
      </c>
      <c r="E58" s="11">
        <v>0</v>
      </c>
      <c r="F58" s="11">
        <f>D58-E58</f>
        <v>0</v>
      </c>
      <c r="G58" s="11">
        <f>SUM(H58:M58)</f>
        <v>0</v>
      </c>
      <c r="H58" s="11">
        <v>0</v>
      </c>
      <c r="I58" s="11">
        <v>0</v>
      </c>
      <c r="J58" s="11">
        <v>0</v>
      </c>
      <c r="K58" s="11">
        <v>0</v>
      </c>
      <c r="L58" s="11">
        <v>0</v>
      </c>
      <c r="M58" s="11">
        <v>0</v>
      </c>
      <c r="N58" s="33"/>
    </row>
    <row r="59" spans="1:14" s="16" customFormat="1" ht="22.5" customHeight="1">
      <c r="A59" s="28"/>
      <c r="B59" s="57"/>
      <c r="C59" s="10"/>
      <c r="D59" s="10"/>
      <c r="E59" s="10"/>
      <c r="F59" s="10"/>
      <c r="G59" s="10"/>
      <c r="H59" s="10"/>
      <c r="I59" s="10"/>
      <c r="J59" s="10"/>
      <c r="K59" s="10"/>
      <c r="L59" s="10"/>
      <c r="M59" s="10"/>
      <c r="N59" s="33"/>
    </row>
    <row r="60" spans="1:14" s="16" customFormat="1" ht="22.5" customHeight="1">
      <c r="A60" s="28" t="s">
        <v>175</v>
      </c>
      <c r="B60" s="61" t="s">
        <v>276</v>
      </c>
      <c r="C60" s="11">
        <f>C64+C65+C63</f>
        <v>2452</v>
      </c>
      <c r="D60" s="11">
        <f aca="true" t="shared" si="12" ref="D60:M60">D64+D65+D63</f>
        <v>2452</v>
      </c>
      <c r="E60" s="11">
        <f t="shared" si="12"/>
        <v>0</v>
      </c>
      <c r="F60" s="11">
        <f t="shared" si="12"/>
        <v>2452</v>
      </c>
      <c r="G60" s="11">
        <f t="shared" si="12"/>
        <v>2452</v>
      </c>
      <c r="H60" s="11">
        <f t="shared" si="12"/>
        <v>0</v>
      </c>
      <c r="I60" s="11">
        <f t="shared" si="12"/>
        <v>0</v>
      </c>
      <c r="J60" s="11">
        <f t="shared" si="12"/>
        <v>0</v>
      </c>
      <c r="K60" s="11">
        <f t="shared" si="12"/>
        <v>0</v>
      </c>
      <c r="L60" s="11">
        <f t="shared" si="12"/>
        <v>2452</v>
      </c>
      <c r="M60" s="11">
        <f t="shared" si="12"/>
        <v>0</v>
      </c>
      <c r="N60" s="33"/>
    </row>
    <row r="61" spans="1:14" s="16" customFormat="1" ht="22.5" customHeight="1">
      <c r="A61" s="28"/>
      <c r="B61" s="62" t="s">
        <v>181</v>
      </c>
      <c r="C61" s="10"/>
      <c r="D61" s="10"/>
      <c r="E61" s="10"/>
      <c r="F61" s="10"/>
      <c r="G61" s="10"/>
      <c r="H61" s="10"/>
      <c r="I61" s="10"/>
      <c r="J61" s="10"/>
      <c r="K61" s="10"/>
      <c r="L61" s="10"/>
      <c r="M61" s="10"/>
      <c r="N61" s="33"/>
    </row>
    <row r="62" spans="1:14" s="16" customFormat="1" ht="22.5" customHeight="1">
      <c r="A62" s="59"/>
      <c r="B62" s="26" t="s">
        <v>178</v>
      </c>
      <c r="C62" s="77"/>
      <c r="D62" s="77"/>
      <c r="E62" s="77"/>
      <c r="F62" s="77"/>
      <c r="G62" s="77"/>
      <c r="H62" s="77"/>
      <c r="I62" s="77"/>
      <c r="J62" s="10"/>
      <c r="K62" s="10"/>
      <c r="L62" s="77"/>
      <c r="M62" s="77"/>
      <c r="N62" s="33"/>
    </row>
    <row r="63" spans="1:14" s="16" customFormat="1" ht="22.5" customHeight="1">
      <c r="A63" s="59"/>
      <c r="B63" s="34" t="s">
        <v>152</v>
      </c>
      <c r="C63" s="24">
        <f>'Studii si proiecte 2022'!D38</f>
        <v>85</v>
      </c>
      <c r="D63" s="24">
        <f>'Studii si proiecte 2022'!E38</f>
        <v>85</v>
      </c>
      <c r="E63" s="24">
        <f>'Studii si proiecte 2022'!F38</f>
        <v>0</v>
      </c>
      <c r="F63" s="24">
        <f>'Studii si proiecte 2022'!G38</f>
        <v>85</v>
      </c>
      <c r="G63" s="24">
        <f>'Studii si proiecte 2022'!H38</f>
        <v>85</v>
      </c>
      <c r="H63" s="24">
        <f>'Studii si proiecte 2022'!I38</f>
        <v>0</v>
      </c>
      <c r="I63" s="24">
        <f>'Studii si proiecte 2022'!J38</f>
        <v>0</v>
      </c>
      <c r="J63" s="24">
        <f>'Studii si proiecte 2022'!K38</f>
        <v>0</v>
      </c>
      <c r="K63" s="24">
        <f>'Studii si proiecte 2022'!L38</f>
        <v>0</v>
      </c>
      <c r="L63" s="24">
        <f>'Studii si proiecte 2022'!M38</f>
        <v>85</v>
      </c>
      <c r="M63" s="24">
        <f>'Studii si proiecte 2022'!N38</f>
        <v>0</v>
      </c>
      <c r="N63" s="33"/>
    </row>
    <row r="64" spans="1:14" s="16" customFormat="1" ht="22.5" customHeight="1">
      <c r="A64" s="73"/>
      <c r="B64" s="194" t="s">
        <v>268</v>
      </c>
      <c r="C64" s="78">
        <f>'Dotari 2022'!D38</f>
        <v>2367</v>
      </c>
      <c r="D64" s="78">
        <f>'Dotari 2022'!E38</f>
        <v>2367</v>
      </c>
      <c r="E64" s="78">
        <f>'Dotari 2022'!F38</f>
        <v>0</v>
      </c>
      <c r="F64" s="78">
        <f>'Dotari 2022'!G38</f>
        <v>2367</v>
      </c>
      <c r="G64" s="78">
        <f>'Dotari 2022'!H38</f>
        <v>2367</v>
      </c>
      <c r="H64" s="78">
        <f>'Dotari 2022'!I38</f>
        <v>0</v>
      </c>
      <c r="I64" s="78">
        <f>'Dotari 2022'!J38</f>
        <v>0</v>
      </c>
      <c r="J64" s="78">
        <f>'Dotari 2022'!K38</f>
        <v>0</v>
      </c>
      <c r="K64" s="78">
        <f>'Dotari 2022'!L38</f>
        <v>0</v>
      </c>
      <c r="L64" s="78">
        <f>'Dotari 2022'!M38</f>
        <v>2367</v>
      </c>
      <c r="M64" s="78">
        <f>'Dotari 2022'!N38</f>
        <v>0</v>
      </c>
      <c r="N64" s="33"/>
    </row>
    <row r="65" spans="1:14" s="16" customFormat="1" ht="22.5" customHeight="1">
      <c r="A65" s="73"/>
      <c r="B65" s="194" t="s">
        <v>270</v>
      </c>
      <c r="C65" s="78">
        <f>'Alte chelt 2022'!D18</f>
        <v>0</v>
      </c>
      <c r="D65" s="78">
        <f>'Alte chelt 2022'!E18</f>
        <v>0</v>
      </c>
      <c r="E65" s="78">
        <f>'Alte chelt 2022'!F18</f>
        <v>0</v>
      </c>
      <c r="F65" s="78">
        <f>'Alte chelt 2022'!G18</f>
        <v>0</v>
      </c>
      <c r="G65" s="78">
        <f>'Alte chelt 2022'!H18</f>
        <v>0</v>
      </c>
      <c r="H65" s="78">
        <f>'Alte chelt 2022'!I18</f>
        <v>0</v>
      </c>
      <c r="I65" s="78">
        <f>'Alte chelt 2022'!J18</f>
        <v>0</v>
      </c>
      <c r="J65" s="78">
        <f>'Alte chelt 2022'!K18</f>
        <v>0</v>
      </c>
      <c r="K65" s="78">
        <f>'Alte chelt 2022'!L18</f>
        <v>0</v>
      </c>
      <c r="L65" s="78">
        <f>'Alte chelt 2022'!M18</f>
        <v>0</v>
      </c>
      <c r="M65" s="78">
        <f>'Alte chelt 2022'!N18</f>
        <v>0</v>
      </c>
      <c r="N65" s="33"/>
    </row>
    <row r="66" spans="1:14" s="16" customFormat="1" ht="25.5" customHeight="1">
      <c r="A66" s="73"/>
      <c r="B66" s="194"/>
      <c r="C66" s="78"/>
      <c r="D66" s="78"/>
      <c r="E66" s="78"/>
      <c r="F66" s="78"/>
      <c r="G66" s="78"/>
      <c r="H66" s="78"/>
      <c r="I66" s="78"/>
      <c r="J66" s="78"/>
      <c r="K66" s="78"/>
      <c r="L66" s="78"/>
      <c r="M66" s="78"/>
      <c r="N66" s="33"/>
    </row>
    <row r="67" spans="1:14" s="16" customFormat="1" ht="52.5" customHeight="1">
      <c r="A67" s="73"/>
      <c r="B67" s="194"/>
      <c r="C67" s="78"/>
      <c r="D67" s="78"/>
      <c r="E67" s="78"/>
      <c r="F67" s="78"/>
      <c r="G67" s="78"/>
      <c r="H67" s="78"/>
      <c r="I67" s="78"/>
      <c r="J67" s="78"/>
      <c r="K67" s="78"/>
      <c r="L67" s="78"/>
      <c r="M67" s="78"/>
      <c r="N67" s="33"/>
    </row>
    <row r="68" spans="1:14" s="16" customFormat="1" ht="37.5" customHeight="1">
      <c r="A68" s="282"/>
      <c r="B68" s="195" t="s">
        <v>242</v>
      </c>
      <c r="C68" s="18" t="s">
        <v>243</v>
      </c>
      <c r="D68" s="18"/>
      <c r="E68" s="18"/>
      <c r="F68" s="18"/>
      <c r="G68" s="18"/>
      <c r="H68" s="15"/>
      <c r="I68" s="15"/>
      <c r="J68" s="15"/>
      <c r="K68" s="15"/>
      <c r="L68" s="79"/>
      <c r="M68" s="15" t="s">
        <v>185</v>
      </c>
      <c r="N68" s="33"/>
    </row>
    <row r="69" spans="1:14" s="16" customFormat="1" ht="25.5" customHeight="1">
      <c r="A69" s="80"/>
      <c r="B69" s="26" t="s">
        <v>178</v>
      </c>
      <c r="C69" s="89">
        <f>C72+C124+C146</f>
        <v>126032</v>
      </c>
      <c r="D69" s="89">
        <f aca="true" t="shared" si="13" ref="D69:M69">D72+D124+D146</f>
        <v>143248</v>
      </c>
      <c r="E69" s="89">
        <f t="shared" si="13"/>
        <v>14008</v>
      </c>
      <c r="F69" s="89">
        <f t="shared" si="13"/>
        <v>129653</v>
      </c>
      <c r="G69" s="89">
        <f t="shared" si="13"/>
        <v>74693</v>
      </c>
      <c r="H69" s="89">
        <f t="shared" si="13"/>
        <v>0</v>
      </c>
      <c r="I69" s="89">
        <f t="shared" si="13"/>
        <v>0</v>
      </c>
      <c r="J69" s="89">
        <f t="shared" si="13"/>
        <v>38255</v>
      </c>
      <c r="K69" s="89">
        <f t="shared" si="13"/>
        <v>0</v>
      </c>
      <c r="L69" s="89">
        <f t="shared" si="13"/>
        <v>14411</v>
      </c>
      <c r="M69" s="89">
        <f t="shared" si="13"/>
        <v>22027</v>
      </c>
      <c r="N69" s="33"/>
    </row>
    <row r="70" spans="1:14" s="16" customFormat="1" ht="25.5" customHeight="1">
      <c r="A70" s="80"/>
      <c r="B70" s="34"/>
      <c r="C70" s="89">
        <f>C73+C125+C147</f>
        <v>86174</v>
      </c>
      <c r="D70" s="89">
        <f aca="true" t="shared" si="14" ref="D70:M70">D73+D125+D147</f>
        <v>92483</v>
      </c>
      <c r="E70" s="89">
        <f t="shared" si="14"/>
        <v>10164</v>
      </c>
      <c r="F70" s="89">
        <f t="shared" si="14"/>
        <v>82619</v>
      </c>
      <c r="G70" s="89">
        <f t="shared" si="14"/>
        <v>46113</v>
      </c>
      <c r="H70" s="89">
        <f t="shared" si="14"/>
        <v>0</v>
      </c>
      <c r="I70" s="89">
        <f t="shared" si="14"/>
        <v>0</v>
      </c>
      <c r="J70" s="89">
        <f t="shared" si="14"/>
        <v>26441</v>
      </c>
      <c r="K70" s="89">
        <f t="shared" si="14"/>
        <v>0</v>
      </c>
      <c r="L70" s="89">
        <f t="shared" si="14"/>
        <v>1246</v>
      </c>
      <c r="M70" s="89">
        <f t="shared" si="14"/>
        <v>18426</v>
      </c>
      <c r="N70" s="33"/>
    </row>
    <row r="71" spans="1:14" s="16" customFormat="1" ht="14.25" customHeight="1">
      <c r="A71" s="80"/>
      <c r="B71" s="34"/>
      <c r="C71" s="82"/>
      <c r="D71" s="82"/>
      <c r="E71" s="82"/>
      <c r="F71" s="82"/>
      <c r="G71" s="82"/>
      <c r="H71" s="82"/>
      <c r="I71" s="82"/>
      <c r="J71" s="82"/>
      <c r="K71" s="82"/>
      <c r="L71" s="82"/>
      <c r="M71" s="82"/>
      <c r="N71" s="33"/>
    </row>
    <row r="72" spans="1:14" s="16" customFormat="1" ht="23.25" customHeight="1">
      <c r="A72" s="80" t="s">
        <v>232</v>
      </c>
      <c r="B72" s="61" t="s">
        <v>179</v>
      </c>
      <c r="C72" s="81">
        <f>C76+C80+C84+C88+C92+C96+C100+C104+C108+C112+C116+C120</f>
        <v>65390</v>
      </c>
      <c r="D72" s="81">
        <f aca="true" t="shared" si="15" ref="D72:M72">D76+D80+D84+D88+D92+D96+D100+D104+D108+D112+D116+D120</f>
        <v>82606</v>
      </c>
      <c r="E72" s="81">
        <f t="shared" si="15"/>
        <v>12215</v>
      </c>
      <c r="F72" s="81">
        <f t="shared" si="15"/>
        <v>70804</v>
      </c>
      <c r="G72" s="81">
        <f t="shared" si="15"/>
        <v>58302</v>
      </c>
      <c r="H72" s="81">
        <f t="shared" si="15"/>
        <v>0</v>
      </c>
      <c r="I72" s="81">
        <f t="shared" si="15"/>
        <v>0</v>
      </c>
      <c r="J72" s="81">
        <f t="shared" si="15"/>
        <v>27425</v>
      </c>
      <c r="K72" s="81">
        <f t="shared" si="15"/>
        <v>0</v>
      </c>
      <c r="L72" s="81">
        <f t="shared" si="15"/>
        <v>8850</v>
      </c>
      <c r="M72" s="81">
        <f t="shared" si="15"/>
        <v>22027</v>
      </c>
      <c r="N72" s="33"/>
    </row>
    <row r="73" spans="1:14" s="16" customFormat="1" ht="23.25" customHeight="1">
      <c r="A73" s="80"/>
      <c r="B73" s="62" t="s">
        <v>172</v>
      </c>
      <c r="C73" s="81">
        <f>C77+C81+C85+C89+C93+C97+C101+C105+C109+C113+C117+C121</f>
        <v>48250</v>
      </c>
      <c r="D73" s="81">
        <f aca="true" t="shared" si="16" ref="D73:M73">D77+D81+D85+D89+D93+D97+D101+D105+D109+D113+D117+D121</f>
        <v>54559</v>
      </c>
      <c r="E73" s="81">
        <f t="shared" si="16"/>
        <v>10164</v>
      </c>
      <c r="F73" s="81">
        <f t="shared" si="16"/>
        <v>44695</v>
      </c>
      <c r="G73" s="81">
        <f t="shared" si="16"/>
        <v>38490</v>
      </c>
      <c r="H73" s="81">
        <f t="shared" si="16"/>
        <v>0</v>
      </c>
      <c r="I73" s="81">
        <f t="shared" si="16"/>
        <v>0</v>
      </c>
      <c r="J73" s="81">
        <f t="shared" si="16"/>
        <v>19533</v>
      </c>
      <c r="K73" s="81">
        <f t="shared" si="16"/>
        <v>0</v>
      </c>
      <c r="L73" s="81">
        <f t="shared" si="16"/>
        <v>531</v>
      </c>
      <c r="M73" s="81">
        <f t="shared" si="16"/>
        <v>18426</v>
      </c>
      <c r="N73" s="33"/>
    </row>
    <row r="74" spans="1:14" s="16" customFormat="1" ht="11.25" customHeight="1">
      <c r="A74" s="80"/>
      <c r="B74" s="57"/>
      <c r="C74" s="82"/>
      <c r="D74" s="82"/>
      <c r="E74" s="82"/>
      <c r="F74" s="82"/>
      <c r="G74" s="82"/>
      <c r="H74" s="82"/>
      <c r="I74" s="82"/>
      <c r="J74" s="82"/>
      <c r="K74" s="82"/>
      <c r="L74" s="82"/>
      <c r="M74" s="82"/>
      <c r="N74" s="33"/>
    </row>
    <row r="75" spans="1:14" s="16" customFormat="1" ht="11.25" customHeight="1">
      <c r="A75" s="80"/>
      <c r="B75" s="57"/>
      <c r="C75" s="82"/>
      <c r="D75" s="82"/>
      <c r="E75" s="82"/>
      <c r="F75" s="82"/>
      <c r="G75" s="82"/>
      <c r="H75" s="82"/>
      <c r="I75" s="82"/>
      <c r="J75" s="82"/>
      <c r="K75" s="82"/>
      <c r="L75" s="82"/>
      <c r="M75" s="82"/>
      <c r="N75" s="33"/>
    </row>
    <row r="76" spans="1:14" s="16" customFormat="1" ht="42.75">
      <c r="A76" s="80">
        <v>1</v>
      </c>
      <c r="B76" s="309" t="s">
        <v>428</v>
      </c>
      <c r="C76" s="308">
        <v>10100</v>
      </c>
      <c r="D76" s="308">
        <f>11670</f>
        <v>11670</v>
      </c>
      <c r="E76" s="308">
        <v>0</v>
      </c>
      <c r="F76" s="11">
        <f>D76-E76</f>
        <v>11670</v>
      </c>
      <c r="G76" s="81">
        <f>SUM(H76:M76)</f>
        <v>11515</v>
      </c>
      <c r="H76" s="81"/>
      <c r="I76" s="81"/>
      <c r="J76" s="81"/>
      <c r="K76" s="81"/>
      <c r="L76" s="81">
        <v>2000</v>
      </c>
      <c r="M76" s="81">
        <v>9515</v>
      </c>
      <c r="N76" s="33" t="s">
        <v>205</v>
      </c>
    </row>
    <row r="77" spans="1:14" s="16" customFormat="1" ht="36.75" customHeight="1">
      <c r="A77" s="80"/>
      <c r="B77" s="259" t="s">
        <v>121</v>
      </c>
      <c r="C77" s="81">
        <v>7854</v>
      </c>
      <c r="D77" s="81">
        <v>8529</v>
      </c>
      <c r="E77" s="81">
        <v>0</v>
      </c>
      <c r="F77" s="11">
        <f>D77-E77</f>
        <v>8529</v>
      </c>
      <c r="G77" s="81">
        <f>SUM(H77:M77)</f>
        <v>8529</v>
      </c>
      <c r="H77" s="81"/>
      <c r="I77" s="81"/>
      <c r="J77" s="81"/>
      <c r="K77" s="81"/>
      <c r="L77" s="81">
        <v>531</v>
      </c>
      <c r="M77" s="81">
        <v>7998</v>
      </c>
      <c r="N77" s="33"/>
    </row>
    <row r="78" spans="1:14" s="16" customFormat="1" ht="12" customHeight="1">
      <c r="A78" s="80"/>
      <c r="B78" s="183"/>
      <c r="C78" s="82"/>
      <c r="D78" s="82"/>
      <c r="E78" s="82"/>
      <c r="F78" s="10"/>
      <c r="G78" s="82"/>
      <c r="H78" s="82"/>
      <c r="I78" s="82"/>
      <c r="J78" s="82"/>
      <c r="K78" s="82"/>
      <c r="L78" s="82"/>
      <c r="M78" s="82"/>
      <c r="N78" s="33"/>
    </row>
    <row r="79" spans="1:14" s="16" customFormat="1" ht="12" customHeight="1">
      <c r="A79" s="80"/>
      <c r="B79" s="196"/>
      <c r="C79" s="82"/>
      <c r="D79" s="82"/>
      <c r="E79" s="82"/>
      <c r="F79" s="10"/>
      <c r="G79" s="82"/>
      <c r="H79" s="82"/>
      <c r="I79" s="82"/>
      <c r="J79" s="82"/>
      <c r="K79" s="82"/>
      <c r="L79" s="82"/>
      <c r="M79" s="82"/>
      <c r="N79" s="33"/>
    </row>
    <row r="80" spans="1:14" s="16" customFormat="1" ht="71.25">
      <c r="A80" s="80">
        <v>2</v>
      </c>
      <c r="B80" s="309" t="s">
        <v>376</v>
      </c>
      <c r="C80" s="308">
        <v>2800</v>
      </c>
      <c r="D80" s="308">
        <f>4194+301</f>
        <v>4495</v>
      </c>
      <c r="E80" s="308">
        <v>0</v>
      </c>
      <c r="F80" s="11">
        <f>D80-E80</f>
        <v>4495</v>
      </c>
      <c r="G80" s="81">
        <f>SUM(H80:M80)</f>
        <v>4495</v>
      </c>
      <c r="H80" s="81"/>
      <c r="I80" s="81"/>
      <c r="J80" s="81"/>
      <c r="K80" s="81"/>
      <c r="L80" s="81">
        <v>1768</v>
      </c>
      <c r="M80" s="81">
        <v>2727</v>
      </c>
      <c r="N80" s="33" t="s">
        <v>205</v>
      </c>
    </row>
    <row r="81" spans="1:14" s="16" customFormat="1" ht="27" customHeight="1">
      <c r="A81" s="80"/>
      <c r="B81" s="259" t="s">
        <v>122</v>
      </c>
      <c r="C81" s="81">
        <v>2099</v>
      </c>
      <c r="D81" s="81">
        <v>3023</v>
      </c>
      <c r="E81" s="81">
        <v>0</v>
      </c>
      <c r="F81" s="11">
        <f>D81-E81</f>
        <v>3023</v>
      </c>
      <c r="G81" s="81">
        <f>SUM(H81:M81)</f>
        <v>2394</v>
      </c>
      <c r="H81" s="81"/>
      <c r="I81" s="81"/>
      <c r="J81" s="81"/>
      <c r="K81" s="81"/>
      <c r="L81" s="81">
        <v>0</v>
      </c>
      <c r="M81" s="81">
        <v>2394</v>
      </c>
      <c r="N81" s="33"/>
    </row>
    <row r="82" spans="1:14" s="16" customFormat="1" ht="13.5" customHeight="1">
      <c r="A82" s="80"/>
      <c r="B82" s="196"/>
      <c r="C82" s="82"/>
      <c r="D82" s="82"/>
      <c r="E82" s="82"/>
      <c r="F82" s="10"/>
      <c r="G82" s="82"/>
      <c r="H82" s="82"/>
      <c r="I82" s="82"/>
      <c r="J82" s="82"/>
      <c r="K82" s="82"/>
      <c r="L82" s="82"/>
      <c r="M82" s="82"/>
      <c r="N82" s="33"/>
    </row>
    <row r="83" spans="1:14" s="16" customFormat="1" ht="13.5" customHeight="1">
      <c r="A83" s="80"/>
      <c r="B83" s="196"/>
      <c r="C83" s="82"/>
      <c r="D83" s="82"/>
      <c r="E83" s="82"/>
      <c r="F83" s="10"/>
      <c r="G83" s="82"/>
      <c r="H83" s="82"/>
      <c r="I83" s="82"/>
      <c r="J83" s="82"/>
      <c r="K83" s="82"/>
      <c r="L83" s="82"/>
      <c r="M83" s="82"/>
      <c r="N83" s="33"/>
    </row>
    <row r="84" spans="1:14" s="16" customFormat="1" ht="28.5">
      <c r="A84" s="80">
        <v>3</v>
      </c>
      <c r="B84" s="309" t="s">
        <v>348</v>
      </c>
      <c r="C84" s="308">
        <v>6148</v>
      </c>
      <c r="D84" s="308">
        <v>6491</v>
      </c>
      <c r="E84" s="308">
        <f>208+2140-345</f>
        <v>2003</v>
      </c>
      <c r="F84" s="11">
        <f>D84-E84</f>
        <v>4488</v>
      </c>
      <c r="G84" s="81">
        <f>SUM(H84:M84)</f>
        <v>4488</v>
      </c>
      <c r="H84" s="81"/>
      <c r="I84" s="81"/>
      <c r="J84" s="81">
        <v>4488</v>
      </c>
      <c r="K84" s="81"/>
      <c r="L84" s="81">
        <v>0</v>
      </c>
      <c r="M84" s="81">
        <v>0</v>
      </c>
      <c r="N84" s="33" t="s">
        <v>205</v>
      </c>
    </row>
    <row r="85" spans="1:14" s="16" customFormat="1" ht="35.25" customHeight="1">
      <c r="A85" s="80"/>
      <c r="B85" s="241" t="s">
        <v>54</v>
      </c>
      <c r="C85" s="81">
        <v>5104</v>
      </c>
      <c r="D85" s="81">
        <v>5296</v>
      </c>
      <c r="E85" s="81">
        <f>183+1840-402</f>
        <v>1621</v>
      </c>
      <c r="F85" s="11">
        <f>D85-E85</f>
        <v>3675</v>
      </c>
      <c r="G85" s="81">
        <f>SUM(H85:M85)</f>
        <v>3675</v>
      </c>
      <c r="H85" s="81"/>
      <c r="I85" s="81"/>
      <c r="J85" s="81">
        <v>3675</v>
      </c>
      <c r="K85" s="81"/>
      <c r="L85" s="81">
        <v>0</v>
      </c>
      <c r="M85" s="81">
        <v>0</v>
      </c>
      <c r="N85" s="33"/>
    </row>
    <row r="86" spans="1:14" s="16" customFormat="1" ht="14.25" customHeight="1">
      <c r="A86" s="80"/>
      <c r="B86" s="241"/>
      <c r="C86" s="82"/>
      <c r="D86" s="82"/>
      <c r="E86" s="82"/>
      <c r="F86" s="10"/>
      <c r="G86" s="82"/>
      <c r="H86" s="82"/>
      <c r="I86" s="82"/>
      <c r="J86" s="82"/>
      <c r="K86" s="82"/>
      <c r="L86" s="82"/>
      <c r="M86" s="82"/>
      <c r="N86" s="33"/>
    </row>
    <row r="87" spans="1:14" s="16" customFormat="1" ht="14.25" customHeight="1">
      <c r="A87" s="80"/>
      <c r="B87" s="241"/>
      <c r="C87" s="82"/>
      <c r="D87" s="82"/>
      <c r="E87" s="82"/>
      <c r="F87" s="10"/>
      <c r="G87" s="82"/>
      <c r="H87" s="82"/>
      <c r="I87" s="82"/>
      <c r="J87" s="82"/>
      <c r="K87" s="82"/>
      <c r="L87" s="82"/>
      <c r="M87" s="82"/>
      <c r="N87" s="33"/>
    </row>
    <row r="88" spans="1:16" s="16" customFormat="1" ht="46.5" customHeight="1">
      <c r="A88" s="80">
        <v>4</v>
      </c>
      <c r="B88" s="309" t="s">
        <v>347</v>
      </c>
      <c r="C88" s="308">
        <v>6058</v>
      </c>
      <c r="D88" s="308">
        <v>5318</v>
      </c>
      <c r="E88" s="308">
        <v>941</v>
      </c>
      <c r="F88" s="11">
        <f>D88-E88</f>
        <v>4377</v>
      </c>
      <c r="G88" s="81">
        <f>SUM(H88:M88)</f>
        <v>3935</v>
      </c>
      <c r="H88" s="81"/>
      <c r="I88" s="81"/>
      <c r="J88" s="81">
        <v>3935</v>
      </c>
      <c r="K88" s="81"/>
      <c r="L88" s="81">
        <v>0</v>
      </c>
      <c r="M88" s="81">
        <v>0</v>
      </c>
      <c r="N88" s="33" t="s">
        <v>205</v>
      </c>
      <c r="P88" s="231"/>
    </row>
    <row r="89" spans="1:14" s="16" customFormat="1" ht="19.5" customHeight="1">
      <c r="A89" s="80"/>
      <c r="B89" s="259" t="s">
        <v>380</v>
      </c>
      <c r="C89" s="81">
        <v>4378</v>
      </c>
      <c r="D89" s="81">
        <v>3773</v>
      </c>
      <c r="E89" s="81">
        <v>873</v>
      </c>
      <c r="F89" s="11">
        <f>D89-E89</f>
        <v>2900</v>
      </c>
      <c r="G89" s="81">
        <f>SUM(H89:M89)</f>
        <v>2800</v>
      </c>
      <c r="H89" s="81"/>
      <c r="I89" s="81"/>
      <c r="J89" s="81">
        <v>2800</v>
      </c>
      <c r="K89" s="81"/>
      <c r="L89" s="81">
        <v>0</v>
      </c>
      <c r="M89" s="81">
        <v>0</v>
      </c>
      <c r="N89" s="33"/>
    </row>
    <row r="90" spans="1:14" s="16" customFormat="1" ht="14.25" customHeight="1">
      <c r="A90" s="80"/>
      <c r="B90" s="259"/>
      <c r="C90" s="82"/>
      <c r="D90" s="82"/>
      <c r="E90" s="82"/>
      <c r="F90" s="10"/>
      <c r="G90" s="82"/>
      <c r="H90" s="82"/>
      <c r="I90" s="82"/>
      <c r="J90" s="82"/>
      <c r="K90" s="82"/>
      <c r="L90" s="82"/>
      <c r="M90" s="82"/>
      <c r="N90" s="33"/>
    </row>
    <row r="91" spans="1:14" s="16" customFormat="1" ht="14.25" customHeight="1">
      <c r="A91" s="80"/>
      <c r="B91" s="183"/>
      <c r="C91" s="82"/>
      <c r="D91" s="82"/>
      <c r="E91" s="82"/>
      <c r="F91" s="10"/>
      <c r="G91" s="82"/>
      <c r="H91" s="82"/>
      <c r="I91" s="82"/>
      <c r="J91" s="82"/>
      <c r="K91" s="82"/>
      <c r="L91" s="82"/>
      <c r="M91" s="82"/>
      <c r="N91" s="33"/>
    </row>
    <row r="92" spans="1:14" s="16" customFormat="1" ht="42.75">
      <c r="A92" s="80">
        <v>5</v>
      </c>
      <c r="B92" s="309" t="s">
        <v>299</v>
      </c>
      <c r="C92" s="308">
        <v>4609</v>
      </c>
      <c r="D92" s="308">
        <v>5524</v>
      </c>
      <c r="E92" s="308">
        <f>1+1436</f>
        <v>1437</v>
      </c>
      <c r="F92" s="11">
        <f>D92-E92</f>
        <v>4087</v>
      </c>
      <c r="G92" s="81">
        <f>SUM(H92:M92)</f>
        <v>3589</v>
      </c>
      <c r="H92" s="81"/>
      <c r="I92" s="81"/>
      <c r="J92" s="81">
        <v>3589</v>
      </c>
      <c r="K92" s="81"/>
      <c r="L92" s="81">
        <v>0</v>
      </c>
      <c r="M92" s="81">
        <v>0</v>
      </c>
      <c r="N92" s="33" t="s">
        <v>205</v>
      </c>
    </row>
    <row r="93" spans="1:14" s="16" customFormat="1" ht="27.75" customHeight="1">
      <c r="A93" s="80"/>
      <c r="B93" s="241" t="s">
        <v>397</v>
      </c>
      <c r="C93" s="81">
        <v>3752</v>
      </c>
      <c r="D93" s="81">
        <v>4307</v>
      </c>
      <c r="E93" s="81">
        <f>1378-71</f>
        <v>1307</v>
      </c>
      <c r="F93" s="11">
        <f>D93-E93</f>
        <v>3000</v>
      </c>
      <c r="G93" s="81">
        <f>SUM(H93:M93)</f>
        <v>3000</v>
      </c>
      <c r="H93" s="81"/>
      <c r="I93" s="81"/>
      <c r="J93" s="81">
        <v>3000</v>
      </c>
      <c r="K93" s="81"/>
      <c r="L93" s="81">
        <v>0</v>
      </c>
      <c r="M93" s="81">
        <v>0</v>
      </c>
      <c r="N93" s="33"/>
    </row>
    <row r="94" spans="1:14" s="16" customFormat="1" ht="10.5" customHeight="1">
      <c r="A94" s="80"/>
      <c r="B94" s="241"/>
      <c r="C94" s="82"/>
      <c r="D94" s="82"/>
      <c r="E94" s="82"/>
      <c r="F94" s="10"/>
      <c r="G94" s="82"/>
      <c r="H94" s="82"/>
      <c r="I94" s="82"/>
      <c r="J94" s="82"/>
      <c r="K94" s="82"/>
      <c r="L94" s="82"/>
      <c r="M94" s="82"/>
      <c r="N94" s="33"/>
    </row>
    <row r="95" spans="1:14" s="16" customFormat="1" ht="10.5" customHeight="1">
      <c r="A95" s="80"/>
      <c r="B95" s="183"/>
      <c r="C95" s="82"/>
      <c r="D95" s="82"/>
      <c r="E95" s="82"/>
      <c r="F95" s="10"/>
      <c r="G95" s="82"/>
      <c r="H95" s="82"/>
      <c r="I95" s="82"/>
      <c r="J95" s="82"/>
      <c r="K95" s="82"/>
      <c r="L95" s="82"/>
      <c r="M95" s="82"/>
      <c r="N95" s="33"/>
    </row>
    <row r="96" spans="1:14" s="16" customFormat="1" ht="39.75" customHeight="1">
      <c r="A96" s="80">
        <v>6</v>
      </c>
      <c r="B96" s="309" t="s">
        <v>307</v>
      </c>
      <c r="C96" s="308">
        <v>4831</v>
      </c>
      <c r="D96" s="308">
        <v>4260</v>
      </c>
      <c r="E96" s="308">
        <f>3440-108</f>
        <v>3332</v>
      </c>
      <c r="F96" s="11">
        <f>D96-E96+298</f>
        <v>1226</v>
      </c>
      <c r="G96" s="81">
        <f>SUM(H96:M96)</f>
        <v>1226</v>
      </c>
      <c r="H96" s="81"/>
      <c r="I96" s="81"/>
      <c r="J96" s="81">
        <v>1226</v>
      </c>
      <c r="K96" s="81"/>
      <c r="L96" s="81">
        <v>0</v>
      </c>
      <c r="M96" s="81">
        <v>0</v>
      </c>
      <c r="N96" s="33" t="s">
        <v>205</v>
      </c>
    </row>
    <row r="97" spans="1:14" s="16" customFormat="1" ht="25.5" customHeight="1">
      <c r="A97" s="80"/>
      <c r="B97" s="241" t="s">
        <v>398</v>
      </c>
      <c r="C97" s="81">
        <v>3634</v>
      </c>
      <c r="D97" s="81">
        <v>3356</v>
      </c>
      <c r="E97" s="81">
        <f>3162-428</f>
        <v>2734</v>
      </c>
      <c r="F97" s="11">
        <f>D97-E97+300</f>
        <v>922</v>
      </c>
      <c r="G97" s="81">
        <f>SUM(H97:M97)</f>
        <v>922</v>
      </c>
      <c r="H97" s="81"/>
      <c r="I97" s="81"/>
      <c r="J97" s="81">
        <v>922</v>
      </c>
      <c r="K97" s="81"/>
      <c r="L97" s="81">
        <v>0</v>
      </c>
      <c r="M97" s="81">
        <v>0</v>
      </c>
      <c r="N97" s="33"/>
    </row>
    <row r="98" spans="1:14" s="16" customFormat="1" ht="15.75" customHeight="1">
      <c r="A98" s="80"/>
      <c r="B98" s="241"/>
      <c r="C98" s="82"/>
      <c r="D98" s="82"/>
      <c r="E98" s="82"/>
      <c r="F98" s="10"/>
      <c r="G98" s="82"/>
      <c r="H98" s="82"/>
      <c r="I98" s="82"/>
      <c r="J98" s="82"/>
      <c r="K98" s="82"/>
      <c r="L98" s="82"/>
      <c r="M98" s="82"/>
      <c r="N98" s="33"/>
    </row>
    <row r="99" spans="1:14" s="16" customFormat="1" ht="15.75" customHeight="1">
      <c r="A99" s="80"/>
      <c r="B99" s="241"/>
      <c r="C99" s="82"/>
      <c r="D99" s="82"/>
      <c r="E99" s="82"/>
      <c r="F99" s="10"/>
      <c r="G99" s="82"/>
      <c r="H99" s="82"/>
      <c r="I99" s="82"/>
      <c r="J99" s="82"/>
      <c r="K99" s="82"/>
      <c r="L99" s="82"/>
      <c r="M99" s="82"/>
      <c r="N99" s="33"/>
    </row>
    <row r="100" spans="1:14" s="16" customFormat="1" ht="48.75" customHeight="1">
      <c r="A100" s="80">
        <v>7</v>
      </c>
      <c r="B100" s="309" t="s">
        <v>326</v>
      </c>
      <c r="C100" s="308">
        <v>7778</v>
      </c>
      <c r="D100" s="308">
        <v>8233</v>
      </c>
      <c r="E100" s="308">
        <v>116</v>
      </c>
      <c r="F100" s="11">
        <f>D100-E100</f>
        <v>8117</v>
      </c>
      <c r="G100" s="81">
        <f>SUM(H100:M100)</f>
        <v>4915</v>
      </c>
      <c r="H100" s="81"/>
      <c r="I100" s="81"/>
      <c r="J100" s="81">
        <v>4915</v>
      </c>
      <c r="K100" s="81"/>
      <c r="L100" s="81">
        <v>0</v>
      </c>
      <c r="M100" s="81">
        <v>0</v>
      </c>
      <c r="N100" s="33" t="s">
        <v>205</v>
      </c>
    </row>
    <row r="101" spans="1:14" s="16" customFormat="1" ht="24.75" customHeight="1">
      <c r="A101" s="80"/>
      <c r="B101" s="241" t="s">
        <v>64</v>
      </c>
      <c r="C101" s="81">
        <v>4317</v>
      </c>
      <c r="D101" s="81">
        <v>4908</v>
      </c>
      <c r="E101" s="81">
        <v>97</v>
      </c>
      <c r="F101" s="11">
        <f>D101-E101</f>
        <v>4811</v>
      </c>
      <c r="G101" s="81">
        <f>SUM(H101:M101)</f>
        <v>2930</v>
      </c>
      <c r="H101" s="81"/>
      <c r="I101" s="81"/>
      <c r="J101" s="81">
        <v>2930</v>
      </c>
      <c r="K101" s="81"/>
      <c r="L101" s="81">
        <v>0</v>
      </c>
      <c r="M101" s="81">
        <v>0</v>
      </c>
      <c r="N101" s="33"/>
    </row>
    <row r="102" spans="1:14" s="16" customFormat="1" ht="15.75">
      <c r="A102" s="80"/>
      <c r="B102" s="241"/>
      <c r="C102" s="82"/>
      <c r="D102" s="82"/>
      <c r="E102" s="82"/>
      <c r="F102" s="10"/>
      <c r="G102" s="82"/>
      <c r="H102" s="82"/>
      <c r="I102" s="82"/>
      <c r="J102" s="82"/>
      <c r="K102" s="82"/>
      <c r="L102" s="82"/>
      <c r="M102" s="82"/>
      <c r="N102" s="33"/>
    </row>
    <row r="103" spans="1:14" s="16" customFormat="1" ht="15.75">
      <c r="A103" s="80"/>
      <c r="B103" s="241"/>
      <c r="C103" s="82"/>
      <c r="D103" s="82"/>
      <c r="E103" s="82"/>
      <c r="F103" s="10"/>
      <c r="G103" s="82"/>
      <c r="H103" s="82"/>
      <c r="I103" s="82"/>
      <c r="J103" s="82"/>
      <c r="K103" s="82"/>
      <c r="L103" s="82"/>
      <c r="M103" s="82"/>
      <c r="N103" s="33"/>
    </row>
    <row r="104" spans="1:14" s="16" customFormat="1" ht="40.5" customHeight="1">
      <c r="A104" s="80">
        <v>8</v>
      </c>
      <c r="B104" s="309" t="s">
        <v>370</v>
      </c>
      <c r="C104" s="308">
        <v>4083</v>
      </c>
      <c r="D104" s="308">
        <v>4279</v>
      </c>
      <c r="E104" s="308">
        <v>546</v>
      </c>
      <c r="F104" s="11">
        <f>D104-E104</f>
        <v>3733</v>
      </c>
      <c r="G104" s="81">
        <f>SUM(H104:M104)</f>
        <v>3456</v>
      </c>
      <c r="H104" s="81"/>
      <c r="I104" s="81"/>
      <c r="J104" s="81">
        <v>3456</v>
      </c>
      <c r="K104" s="81"/>
      <c r="L104" s="81">
        <v>0</v>
      </c>
      <c r="M104" s="81">
        <v>0</v>
      </c>
      <c r="N104" s="33" t="s">
        <v>205</v>
      </c>
    </row>
    <row r="105" spans="1:14" s="16" customFormat="1" ht="28.5" customHeight="1">
      <c r="A105" s="80"/>
      <c r="B105" s="241" t="s">
        <v>399</v>
      </c>
      <c r="C105" s="81">
        <v>3295</v>
      </c>
      <c r="D105" s="81">
        <v>3040</v>
      </c>
      <c r="E105" s="81">
        <f>480-40</f>
        <v>440</v>
      </c>
      <c r="F105" s="11">
        <f>D105-E105</f>
        <v>2600</v>
      </c>
      <c r="G105" s="81">
        <f>SUM(H105:M105)</f>
        <v>2600</v>
      </c>
      <c r="H105" s="81"/>
      <c r="I105" s="81"/>
      <c r="J105" s="81">
        <v>2600</v>
      </c>
      <c r="K105" s="81"/>
      <c r="L105" s="81">
        <v>0</v>
      </c>
      <c r="M105" s="81">
        <v>0</v>
      </c>
      <c r="N105" s="33"/>
    </row>
    <row r="106" spans="1:14" s="16" customFormat="1" ht="16.5" customHeight="1">
      <c r="A106" s="80"/>
      <c r="B106" s="241"/>
      <c r="C106" s="82"/>
      <c r="D106" s="82"/>
      <c r="E106" s="82"/>
      <c r="F106" s="10"/>
      <c r="G106" s="82"/>
      <c r="H106" s="82"/>
      <c r="I106" s="82"/>
      <c r="J106" s="82"/>
      <c r="K106" s="82"/>
      <c r="L106" s="82"/>
      <c r="M106" s="82"/>
      <c r="N106" s="33"/>
    </row>
    <row r="107" spans="1:14" s="16" customFormat="1" ht="16.5" customHeight="1">
      <c r="A107" s="80"/>
      <c r="B107" s="241"/>
      <c r="C107" s="82"/>
      <c r="D107" s="82"/>
      <c r="E107" s="82"/>
      <c r="F107" s="10"/>
      <c r="G107" s="82"/>
      <c r="H107" s="82"/>
      <c r="I107" s="82"/>
      <c r="J107" s="82"/>
      <c r="K107" s="82"/>
      <c r="L107" s="82"/>
      <c r="M107" s="82"/>
      <c r="N107" s="33"/>
    </row>
    <row r="108" spans="1:14" s="16" customFormat="1" ht="43.5" customHeight="1">
      <c r="A108" s="80">
        <v>9</v>
      </c>
      <c r="B108" s="309" t="s">
        <v>330</v>
      </c>
      <c r="C108" s="308">
        <v>10248</v>
      </c>
      <c r="D108" s="308">
        <v>11247</v>
      </c>
      <c r="E108" s="308">
        <v>2</v>
      </c>
      <c r="F108" s="11">
        <f>D108-E108</f>
        <v>11245</v>
      </c>
      <c r="G108" s="81">
        <f>SUM(H108:M108)</f>
        <v>5816</v>
      </c>
      <c r="H108" s="81"/>
      <c r="I108" s="81"/>
      <c r="J108" s="81">
        <v>5816</v>
      </c>
      <c r="K108" s="81"/>
      <c r="L108" s="81">
        <v>0</v>
      </c>
      <c r="M108" s="81">
        <v>0</v>
      </c>
      <c r="N108" s="33" t="s">
        <v>205</v>
      </c>
    </row>
    <row r="109" spans="1:14" s="16" customFormat="1" ht="20.25" customHeight="1">
      <c r="A109" s="80"/>
      <c r="B109" s="241" t="s">
        <v>388</v>
      </c>
      <c r="C109" s="81">
        <v>6092</v>
      </c>
      <c r="D109" s="81">
        <v>6911</v>
      </c>
      <c r="E109" s="81">
        <v>0</v>
      </c>
      <c r="F109" s="11">
        <f>D109-E109</f>
        <v>6911</v>
      </c>
      <c r="G109" s="81">
        <f>SUM(H109:M109)</f>
        <v>3606</v>
      </c>
      <c r="H109" s="81"/>
      <c r="I109" s="81"/>
      <c r="J109" s="81">
        <v>3606</v>
      </c>
      <c r="K109" s="81"/>
      <c r="L109" s="81">
        <v>0</v>
      </c>
      <c r="M109" s="81">
        <v>0</v>
      </c>
      <c r="N109" s="33"/>
    </row>
    <row r="110" spans="1:14" s="16" customFormat="1" ht="20.25" customHeight="1">
      <c r="A110" s="80"/>
      <c r="B110" s="241"/>
      <c r="C110" s="82"/>
      <c r="D110" s="82"/>
      <c r="E110" s="82"/>
      <c r="F110" s="10"/>
      <c r="G110" s="82"/>
      <c r="H110" s="82"/>
      <c r="I110" s="82"/>
      <c r="J110" s="82"/>
      <c r="K110" s="82"/>
      <c r="L110" s="82"/>
      <c r="M110" s="82"/>
      <c r="N110" s="33"/>
    </row>
    <row r="111" spans="1:14" s="16" customFormat="1" ht="20.25" customHeight="1">
      <c r="A111" s="28"/>
      <c r="B111" s="57"/>
      <c r="C111" s="10"/>
      <c r="D111" s="10"/>
      <c r="E111" s="10"/>
      <c r="F111" s="10"/>
      <c r="G111" s="10"/>
      <c r="H111" s="10"/>
      <c r="I111" s="10"/>
      <c r="J111" s="10"/>
      <c r="K111" s="10"/>
      <c r="L111" s="10"/>
      <c r="M111" s="10"/>
      <c r="N111" s="37"/>
    </row>
    <row r="112" spans="1:14" s="16" customFormat="1" ht="37.5" customHeight="1">
      <c r="A112" s="28">
        <v>10</v>
      </c>
      <c r="B112" s="343" t="s">
        <v>429</v>
      </c>
      <c r="C112" s="81">
        <v>2396</v>
      </c>
      <c r="D112" s="81">
        <f>4361+1402</f>
        <v>5763</v>
      </c>
      <c r="E112" s="81">
        <f>35+1380</f>
        <v>1415</v>
      </c>
      <c r="F112" s="81">
        <f>D112-E112</f>
        <v>4348</v>
      </c>
      <c r="G112" s="81">
        <f>SUM(H112:M112)</f>
        <v>3035</v>
      </c>
      <c r="H112" s="81"/>
      <c r="I112" s="81"/>
      <c r="J112" s="81"/>
      <c r="K112" s="81"/>
      <c r="L112" s="81">
        <v>1541</v>
      </c>
      <c r="M112" s="81">
        <v>1494</v>
      </c>
      <c r="N112" s="33" t="s">
        <v>205</v>
      </c>
    </row>
    <row r="113" spans="1:14" s="16" customFormat="1" ht="22.5" customHeight="1">
      <c r="A113" s="28"/>
      <c r="B113" s="344" t="s">
        <v>123</v>
      </c>
      <c r="C113" s="11">
        <v>2275</v>
      </c>
      <c r="D113" s="11">
        <f>2969+58</f>
        <v>3027</v>
      </c>
      <c r="E113" s="11">
        <v>1280</v>
      </c>
      <c r="F113" s="81">
        <f>D113-E113</f>
        <v>1747</v>
      </c>
      <c r="G113" s="81">
        <f>SUM(H113:M113)</f>
        <v>1490</v>
      </c>
      <c r="H113" s="11"/>
      <c r="I113" s="11"/>
      <c r="J113" s="11"/>
      <c r="K113" s="11"/>
      <c r="L113" s="11">
        <v>0</v>
      </c>
      <c r="M113" s="11">
        <v>1490</v>
      </c>
      <c r="N113" s="33"/>
    </row>
    <row r="114" spans="1:14" s="16" customFormat="1" ht="20.25" customHeight="1">
      <c r="A114" s="28"/>
      <c r="B114" s="232"/>
      <c r="C114" s="10"/>
      <c r="D114" s="10"/>
      <c r="E114" s="10"/>
      <c r="F114" s="82"/>
      <c r="G114" s="82"/>
      <c r="H114" s="10"/>
      <c r="I114" s="10"/>
      <c r="J114" s="10"/>
      <c r="K114" s="10"/>
      <c r="L114" s="10"/>
      <c r="M114" s="10"/>
      <c r="N114" s="33"/>
    </row>
    <row r="115" spans="1:14" s="16" customFormat="1" ht="20.25" customHeight="1">
      <c r="A115" s="28"/>
      <c r="B115" s="57"/>
      <c r="G115" s="82"/>
      <c r="N115" s="33"/>
    </row>
    <row r="116" spans="1:14" s="16" customFormat="1" ht="41.25" customHeight="1">
      <c r="A116" s="28">
        <v>11</v>
      </c>
      <c r="B116" s="309" t="s">
        <v>430</v>
      </c>
      <c r="C116" s="81">
        <v>3778</v>
      </c>
      <c r="D116" s="81">
        <f>7143+2439</f>
        <v>9582</v>
      </c>
      <c r="E116" s="81">
        <v>500</v>
      </c>
      <c r="F116" s="81">
        <f>D116-E116</f>
        <v>9082</v>
      </c>
      <c r="G116" s="81">
        <f>SUM(H116:M116)</f>
        <v>9081</v>
      </c>
      <c r="H116" s="81"/>
      <c r="I116" s="81"/>
      <c r="J116" s="81"/>
      <c r="K116" s="81"/>
      <c r="L116" s="81">
        <v>2104</v>
      </c>
      <c r="M116" s="81">
        <v>6977</v>
      </c>
      <c r="N116" s="33" t="s">
        <v>205</v>
      </c>
    </row>
    <row r="117" spans="1:14" s="16" customFormat="1" ht="41.25" customHeight="1">
      <c r="A117" s="28"/>
      <c r="B117" s="242" t="s">
        <v>124</v>
      </c>
      <c r="C117" s="11">
        <v>3619</v>
      </c>
      <c r="D117" s="11">
        <f>5244+170</f>
        <v>5414</v>
      </c>
      <c r="E117" s="11">
        <v>170</v>
      </c>
      <c r="F117" s="81">
        <f>D117-E117</f>
        <v>5244</v>
      </c>
      <c r="G117" s="81">
        <f>SUM(H117:M117)</f>
        <v>5244</v>
      </c>
      <c r="H117" s="81"/>
      <c r="I117" s="81"/>
      <c r="J117" s="81"/>
      <c r="K117" s="81"/>
      <c r="L117" s="81">
        <v>0</v>
      </c>
      <c r="M117" s="81">
        <v>5244</v>
      </c>
      <c r="N117" s="85"/>
    </row>
    <row r="118" spans="1:14" s="16" customFormat="1" ht="20.25" customHeight="1">
      <c r="A118" s="28"/>
      <c r="B118" s="233"/>
      <c r="C118" s="10"/>
      <c r="D118" s="10"/>
      <c r="E118" s="10"/>
      <c r="F118" s="82"/>
      <c r="G118" s="82"/>
      <c r="H118" s="82"/>
      <c r="I118" s="82"/>
      <c r="J118" s="82"/>
      <c r="K118" s="82"/>
      <c r="L118" s="82"/>
      <c r="M118" s="82"/>
      <c r="N118" s="85"/>
    </row>
    <row r="119" spans="1:14" s="16" customFormat="1" ht="20.25" customHeight="1">
      <c r="A119" s="28"/>
      <c r="B119" s="57"/>
      <c r="C119" s="17"/>
      <c r="D119" s="17"/>
      <c r="E119" s="17"/>
      <c r="F119" s="17"/>
      <c r="G119" s="82"/>
      <c r="H119" s="17"/>
      <c r="I119" s="17"/>
      <c r="J119" s="17"/>
      <c r="K119" s="17"/>
      <c r="L119" s="17"/>
      <c r="M119" s="17"/>
      <c r="N119" s="85"/>
    </row>
    <row r="120" spans="1:14" s="16" customFormat="1" ht="39.75" customHeight="1">
      <c r="A120" s="28">
        <v>12</v>
      </c>
      <c r="B120" s="309" t="s">
        <v>431</v>
      </c>
      <c r="C120" s="81">
        <v>2561</v>
      </c>
      <c r="D120" s="81">
        <v>5744</v>
      </c>
      <c r="E120" s="81">
        <f>55+150+1718</f>
        <v>1923</v>
      </c>
      <c r="F120" s="81">
        <f>D120-E120+115</f>
        <v>3936</v>
      </c>
      <c r="G120" s="81">
        <f>SUM(H120:M120)</f>
        <v>2751</v>
      </c>
      <c r="H120" s="81"/>
      <c r="I120" s="81"/>
      <c r="J120" s="81"/>
      <c r="K120" s="81"/>
      <c r="L120" s="81">
        <v>1437</v>
      </c>
      <c r="M120" s="81">
        <v>1314</v>
      </c>
      <c r="N120" s="33" t="s">
        <v>205</v>
      </c>
    </row>
    <row r="121" spans="1:14" s="16" customFormat="1" ht="39.75" customHeight="1">
      <c r="A121" s="28"/>
      <c r="B121" s="242" t="s">
        <v>125</v>
      </c>
      <c r="C121" s="81">
        <v>1831</v>
      </c>
      <c r="D121" s="81">
        <v>2975</v>
      </c>
      <c r="E121" s="81">
        <v>1642</v>
      </c>
      <c r="F121" s="81">
        <f>D121-E121</f>
        <v>1333</v>
      </c>
      <c r="G121" s="81">
        <f>SUM(H121:M121)</f>
        <v>1300</v>
      </c>
      <c r="H121" s="81"/>
      <c r="I121" s="81"/>
      <c r="J121" s="81"/>
      <c r="K121" s="81"/>
      <c r="L121" s="81">
        <v>0</v>
      </c>
      <c r="M121" s="81">
        <v>1300</v>
      </c>
      <c r="N121" s="85"/>
    </row>
    <row r="122" spans="1:14" s="16" customFormat="1" ht="20.25" customHeight="1">
      <c r="A122" s="28"/>
      <c r="B122" s="242"/>
      <c r="C122" s="82"/>
      <c r="D122" s="82"/>
      <c r="E122" s="82"/>
      <c r="F122" s="82"/>
      <c r="G122" s="82"/>
      <c r="H122" s="82"/>
      <c r="I122" s="82"/>
      <c r="J122" s="82"/>
      <c r="K122" s="82"/>
      <c r="L122" s="82"/>
      <c r="M122" s="82"/>
      <c r="N122" s="85"/>
    </row>
    <row r="123" spans="1:14" s="16" customFormat="1" ht="11.25" customHeight="1">
      <c r="A123" s="80"/>
      <c r="B123" s="196"/>
      <c r="C123" s="82"/>
      <c r="D123" s="82"/>
      <c r="E123" s="82"/>
      <c r="F123" s="10"/>
      <c r="G123" s="82"/>
      <c r="H123" s="82"/>
      <c r="I123" s="82"/>
      <c r="J123" s="82"/>
      <c r="K123" s="82"/>
      <c r="L123" s="82"/>
      <c r="M123" s="82"/>
      <c r="N123" s="33"/>
    </row>
    <row r="124" spans="1:14" s="16" customFormat="1" ht="27" customHeight="1">
      <c r="A124" s="17" t="s">
        <v>173</v>
      </c>
      <c r="B124" s="61" t="s">
        <v>179</v>
      </c>
      <c r="C124" s="86">
        <f>C127+C131+C135+C139+C143</f>
        <v>53190</v>
      </c>
      <c r="D124" s="86">
        <f aca="true" t="shared" si="17" ref="D124:M124">D127+D131+D135+D139+D143</f>
        <v>53190</v>
      </c>
      <c r="E124" s="86">
        <f t="shared" si="17"/>
        <v>44</v>
      </c>
      <c r="F124" s="86">
        <f t="shared" si="17"/>
        <v>53146</v>
      </c>
      <c r="G124" s="86">
        <f t="shared" si="17"/>
        <v>10689</v>
      </c>
      <c r="H124" s="86">
        <f t="shared" si="17"/>
        <v>0</v>
      </c>
      <c r="I124" s="86">
        <f t="shared" si="17"/>
        <v>0</v>
      </c>
      <c r="J124" s="86">
        <f>J127+J131+J135+J139+J143</f>
        <v>9598</v>
      </c>
      <c r="K124" s="86">
        <f t="shared" si="17"/>
        <v>0</v>
      </c>
      <c r="L124" s="86">
        <f t="shared" si="17"/>
        <v>1091</v>
      </c>
      <c r="M124" s="86">
        <f t="shared" si="17"/>
        <v>0</v>
      </c>
      <c r="N124" s="33"/>
    </row>
    <row r="125" spans="1:14" s="16" customFormat="1" ht="27" customHeight="1">
      <c r="A125" s="80"/>
      <c r="B125" s="62" t="s">
        <v>174</v>
      </c>
      <c r="C125" s="86">
        <f>C128+C132+C136+C140+C144</f>
        <v>37924</v>
      </c>
      <c r="D125" s="86">
        <f aca="true" t="shared" si="18" ref="D125:M125">D128+D132+D136+D140+D144</f>
        <v>37924</v>
      </c>
      <c r="E125" s="86">
        <f t="shared" si="18"/>
        <v>0</v>
      </c>
      <c r="F125" s="86">
        <f t="shared" si="18"/>
        <v>37924</v>
      </c>
      <c r="G125" s="86">
        <f t="shared" si="18"/>
        <v>7623</v>
      </c>
      <c r="H125" s="86">
        <f t="shared" si="18"/>
        <v>0</v>
      </c>
      <c r="I125" s="86">
        <f t="shared" si="18"/>
        <v>0</v>
      </c>
      <c r="J125" s="86">
        <f t="shared" si="18"/>
        <v>6908</v>
      </c>
      <c r="K125" s="86">
        <f t="shared" si="18"/>
        <v>0</v>
      </c>
      <c r="L125" s="86">
        <f t="shared" si="18"/>
        <v>715</v>
      </c>
      <c r="M125" s="86">
        <f t="shared" si="18"/>
        <v>0</v>
      </c>
      <c r="N125" s="33"/>
    </row>
    <row r="126" spans="1:14" s="16" customFormat="1" ht="16.5" customHeight="1">
      <c r="A126" s="80"/>
      <c r="B126" s="57"/>
      <c r="C126" s="82"/>
      <c r="D126" s="82"/>
      <c r="E126" s="82"/>
      <c r="F126" s="82"/>
      <c r="G126" s="82"/>
      <c r="H126" s="82"/>
      <c r="I126" s="82"/>
      <c r="J126" s="82"/>
      <c r="K126" s="82"/>
      <c r="L126" s="82"/>
      <c r="M126" s="82"/>
      <c r="N126" s="33"/>
    </row>
    <row r="127" spans="1:14" s="16" customFormat="1" ht="27" customHeight="1">
      <c r="A127" s="80">
        <v>1</v>
      </c>
      <c r="B127" s="309" t="s">
        <v>74</v>
      </c>
      <c r="C127" s="308">
        <v>13379</v>
      </c>
      <c r="D127" s="308">
        <f>C127</f>
        <v>13379</v>
      </c>
      <c r="E127" s="308">
        <v>0</v>
      </c>
      <c r="F127" s="11">
        <f>D127-E127</f>
        <v>13379</v>
      </c>
      <c r="G127" s="81">
        <f>SUM(H127:M127)</f>
        <v>1847</v>
      </c>
      <c r="H127" s="81"/>
      <c r="I127" s="81"/>
      <c r="J127" s="81">
        <v>1847</v>
      </c>
      <c r="K127" s="81"/>
      <c r="L127" s="81">
        <v>0</v>
      </c>
      <c r="M127" s="81">
        <v>0</v>
      </c>
      <c r="N127" s="33" t="s">
        <v>205</v>
      </c>
    </row>
    <row r="128" spans="1:14" s="16" customFormat="1" ht="27" customHeight="1">
      <c r="A128" s="80"/>
      <c r="B128" s="259" t="s">
        <v>77</v>
      </c>
      <c r="C128" s="81">
        <v>9396</v>
      </c>
      <c r="D128" s="81">
        <f>C128</f>
        <v>9396</v>
      </c>
      <c r="E128" s="81">
        <v>0</v>
      </c>
      <c r="F128" s="11">
        <f>D128-E128</f>
        <v>9396</v>
      </c>
      <c r="G128" s="81">
        <f>SUM(H128:M128)</f>
        <v>1320</v>
      </c>
      <c r="H128" s="81"/>
      <c r="I128" s="81"/>
      <c r="J128" s="81">
        <v>1320</v>
      </c>
      <c r="K128" s="81"/>
      <c r="L128" s="81">
        <v>0</v>
      </c>
      <c r="M128" s="81">
        <v>0</v>
      </c>
      <c r="N128" s="33"/>
    </row>
    <row r="129" spans="1:14" s="16" customFormat="1" ht="18" customHeight="1">
      <c r="A129" s="80"/>
      <c r="B129" s="259"/>
      <c r="C129" s="82"/>
      <c r="D129" s="82"/>
      <c r="E129" s="82"/>
      <c r="F129" s="10"/>
      <c r="G129" s="82"/>
      <c r="H129" s="82"/>
      <c r="I129" s="82"/>
      <c r="J129" s="82"/>
      <c r="K129" s="82"/>
      <c r="L129" s="82"/>
      <c r="M129" s="82"/>
      <c r="N129" s="33"/>
    </row>
    <row r="130" spans="1:14" s="16" customFormat="1" ht="18" customHeight="1">
      <c r="A130" s="80"/>
      <c r="B130" s="259"/>
      <c r="C130" s="82"/>
      <c r="D130" s="82"/>
      <c r="E130" s="82"/>
      <c r="F130" s="10"/>
      <c r="G130" s="82"/>
      <c r="H130" s="82"/>
      <c r="I130" s="82"/>
      <c r="J130" s="82"/>
      <c r="K130" s="82"/>
      <c r="L130" s="82"/>
      <c r="M130" s="82"/>
      <c r="N130" s="33"/>
    </row>
    <row r="131" spans="1:14" s="16" customFormat="1" ht="71.25">
      <c r="A131" s="80">
        <v>2</v>
      </c>
      <c r="B131" s="309" t="s">
        <v>86</v>
      </c>
      <c r="C131" s="308">
        <v>1137</v>
      </c>
      <c r="D131" s="308">
        <f>C131</f>
        <v>1137</v>
      </c>
      <c r="E131" s="308">
        <v>44</v>
      </c>
      <c r="F131" s="11">
        <f>D131-E131</f>
        <v>1093</v>
      </c>
      <c r="G131" s="81">
        <f>SUM(H131:M131)</f>
        <v>1091</v>
      </c>
      <c r="H131" s="81"/>
      <c r="I131" s="81"/>
      <c r="J131" s="81">
        <v>0</v>
      </c>
      <c r="K131" s="81"/>
      <c r="L131" s="81">
        <v>1091</v>
      </c>
      <c r="M131" s="81">
        <v>0</v>
      </c>
      <c r="N131" s="33" t="s">
        <v>205</v>
      </c>
    </row>
    <row r="132" spans="1:14" s="16" customFormat="1" ht="27" customHeight="1">
      <c r="A132" s="80"/>
      <c r="B132" s="259" t="s">
        <v>87</v>
      </c>
      <c r="C132" s="81">
        <v>785</v>
      </c>
      <c r="D132" s="81">
        <f>C132</f>
        <v>785</v>
      </c>
      <c r="E132" s="81">
        <v>0</v>
      </c>
      <c r="F132" s="11">
        <f>D132-E132</f>
        <v>785</v>
      </c>
      <c r="G132" s="81">
        <f>SUM(H132:M132)</f>
        <v>715</v>
      </c>
      <c r="H132" s="81"/>
      <c r="I132" s="81"/>
      <c r="J132" s="81">
        <v>0</v>
      </c>
      <c r="K132" s="81"/>
      <c r="L132" s="81">
        <v>715</v>
      </c>
      <c r="M132" s="81">
        <v>0</v>
      </c>
      <c r="N132" s="33"/>
    </row>
    <row r="133" spans="1:14" s="16" customFormat="1" ht="14.25" customHeight="1">
      <c r="A133" s="80"/>
      <c r="B133" s="259"/>
      <c r="C133" s="82"/>
      <c r="D133" s="82"/>
      <c r="E133" s="82"/>
      <c r="F133" s="10"/>
      <c r="G133" s="82"/>
      <c r="H133" s="82"/>
      <c r="I133" s="82"/>
      <c r="J133" s="82"/>
      <c r="K133" s="82"/>
      <c r="L133" s="82"/>
      <c r="M133" s="82"/>
      <c r="N133" s="33"/>
    </row>
    <row r="134" spans="1:14" s="16" customFormat="1" ht="14.25" customHeight="1">
      <c r="A134" s="80"/>
      <c r="B134" s="259"/>
      <c r="C134" s="82"/>
      <c r="D134" s="82"/>
      <c r="E134" s="82"/>
      <c r="F134" s="10"/>
      <c r="G134" s="82"/>
      <c r="H134" s="82"/>
      <c r="I134" s="82"/>
      <c r="J134" s="82"/>
      <c r="K134" s="82"/>
      <c r="L134" s="82"/>
      <c r="M134" s="82"/>
      <c r="N134" s="33"/>
    </row>
    <row r="135" spans="1:14" s="16" customFormat="1" ht="27" customHeight="1">
      <c r="A135" s="80">
        <v>3</v>
      </c>
      <c r="B135" s="309" t="s">
        <v>76</v>
      </c>
      <c r="C135" s="308">
        <v>13645</v>
      </c>
      <c r="D135" s="308">
        <f>C135</f>
        <v>13645</v>
      </c>
      <c r="E135" s="308">
        <v>0</v>
      </c>
      <c r="F135" s="11">
        <f>D135-E135</f>
        <v>13645</v>
      </c>
      <c r="G135" s="81">
        <f>SUM(H135:M135)</f>
        <v>2000</v>
      </c>
      <c r="H135" s="81"/>
      <c r="I135" s="81"/>
      <c r="J135" s="81">
        <v>2000</v>
      </c>
      <c r="K135" s="81"/>
      <c r="L135" s="81">
        <v>0</v>
      </c>
      <c r="M135" s="81">
        <v>0</v>
      </c>
      <c r="N135" s="33" t="s">
        <v>205</v>
      </c>
    </row>
    <row r="136" spans="1:14" s="16" customFormat="1" ht="27" customHeight="1">
      <c r="A136" s="80"/>
      <c r="B136" s="259" t="s">
        <v>126</v>
      </c>
      <c r="C136" s="81">
        <v>9472</v>
      </c>
      <c r="D136" s="81">
        <f>C136</f>
        <v>9472</v>
      </c>
      <c r="E136" s="81">
        <v>0</v>
      </c>
      <c r="F136" s="11">
        <f>D136-E136</f>
        <v>9472</v>
      </c>
      <c r="G136" s="81">
        <f>SUM(H136:M136)</f>
        <v>1400</v>
      </c>
      <c r="H136" s="81"/>
      <c r="I136" s="81"/>
      <c r="J136" s="81">
        <v>1400</v>
      </c>
      <c r="K136" s="81"/>
      <c r="L136" s="81">
        <v>0</v>
      </c>
      <c r="M136" s="81">
        <v>0</v>
      </c>
      <c r="N136" s="33"/>
    </row>
    <row r="137" spans="1:14" s="16" customFormat="1" ht="14.25" customHeight="1">
      <c r="A137" s="80"/>
      <c r="B137" s="259"/>
      <c r="C137" s="82"/>
      <c r="D137" s="82"/>
      <c r="E137" s="82"/>
      <c r="F137" s="10"/>
      <c r="G137" s="82"/>
      <c r="H137" s="82"/>
      <c r="I137" s="82"/>
      <c r="J137" s="82"/>
      <c r="K137" s="82"/>
      <c r="L137" s="82"/>
      <c r="M137" s="82"/>
      <c r="N137" s="33"/>
    </row>
    <row r="138" spans="1:14" s="16" customFormat="1" ht="14.25" customHeight="1">
      <c r="A138" s="80"/>
      <c r="B138" s="259"/>
      <c r="C138" s="82"/>
      <c r="D138" s="82"/>
      <c r="E138" s="82"/>
      <c r="F138" s="10"/>
      <c r="G138" s="82"/>
      <c r="H138" s="82"/>
      <c r="I138" s="82"/>
      <c r="J138" s="82"/>
      <c r="K138" s="82"/>
      <c r="L138" s="82"/>
      <c r="M138" s="82"/>
      <c r="N138" s="33"/>
    </row>
    <row r="139" spans="1:14" s="16" customFormat="1" ht="42.75">
      <c r="A139" s="80">
        <v>4</v>
      </c>
      <c r="B139" s="309" t="s">
        <v>84</v>
      </c>
      <c r="C139" s="308">
        <v>19399</v>
      </c>
      <c r="D139" s="308">
        <f>C139</f>
        <v>19399</v>
      </c>
      <c r="E139" s="308">
        <v>0</v>
      </c>
      <c r="F139" s="11">
        <f>D139-E139</f>
        <v>19399</v>
      </c>
      <c r="G139" s="81">
        <f>SUM(H139:M139)</f>
        <v>2929</v>
      </c>
      <c r="H139" s="81"/>
      <c r="I139" s="81"/>
      <c r="J139" s="81">
        <v>2929</v>
      </c>
      <c r="K139" s="81"/>
      <c r="L139" s="81">
        <v>0</v>
      </c>
      <c r="M139" s="81">
        <v>0</v>
      </c>
      <c r="N139" s="33" t="s">
        <v>205</v>
      </c>
    </row>
    <row r="140" spans="1:14" s="16" customFormat="1" ht="27" customHeight="1">
      <c r="A140" s="80"/>
      <c r="B140" s="259" t="s">
        <v>111</v>
      </c>
      <c r="C140" s="81">
        <v>14189</v>
      </c>
      <c r="D140" s="81">
        <f>C140</f>
        <v>14189</v>
      </c>
      <c r="E140" s="81">
        <v>0</v>
      </c>
      <c r="F140" s="11">
        <f>D140-E140</f>
        <v>14189</v>
      </c>
      <c r="G140" s="81">
        <f>SUM(H140:M140)</f>
        <v>2142</v>
      </c>
      <c r="H140" s="81"/>
      <c r="I140" s="81"/>
      <c r="J140" s="81">
        <v>2142</v>
      </c>
      <c r="K140" s="81"/>
      <c r="L140" s="81">
        <v>0</v>
      </c>
      <c r="M140" s="81">
        <v>0</v>
      </c>
      <c r="N140" s="33"/>
    </row>
    <row r="141" spans="1:14" s="16" customFormat="1" ht="12" customHeight="1">
      <c r="A141" s="80"/>
      <c r="B141" s="57"/>
      <c r="C141" s="82"/>
      <c r="D141" s="82"/>
      <c r="E141" s="82"/>
      <c r="F141" s="82"/>
      <c r="G141" s="82"/>
      <c r="H141" s="82"/>
      <c r="I141" s="82"/>
      <c r="J141" s="82"/>
      <c r="K141" s="82"/>
      <c r="L141" s="82"/>
      <c r="M141" s="82"/>
      <c r="N141" s="33"/>
    </row>
    <row r="142" spans="1:14" s="16" customFormat="1" ht="12" customHeight="1">
      <c r="A142" s="80"/>
      <c r="B142" s="241"/>
      <c r="C142" s="82"/>
      <c r="D142" s="82"/>
      <c r="E142" s="82"/>
      <c r="F142" s="10"/>
      <c r="G142" s="82"/>
      <c r="H142" s="82"/>
      <c r="I142" s="82"/>
      <c r="J142" s="82"/>
      <c r="K142" s="82"/>
      <c r="L142" s="82"/>
      <c r="M142" s="82"/>
      <c r="N142" s="33"/>
    </row>
    <row r="143" spans="1:14" s="16" customFormat="1" ht="48" customHeight="1">
      <c r="A143" s="80">
        <v>5</v>
      </c>
      <c r="B143" s="309" t="s">
        <v>329</v>
      </c>
      <c r="C143" s="308">
        <v>5630</v>
      </c>
      <c r="D143" s="308">
        <v>5630</v>
      </c>
      <c r="E143" s="308">
        <v>0</v>
      </c>
      <c r="F143" s="11">
        <f>D143-E143</f>
        <v>5630</v>
      </c>
      <c r="G143" s="81">
        <f>SUM(H143:M143)</f>
        <v>2822</v>
      </c>
      <c r="H143" s="81"/>
      <c r="I143" s="81"/>
      <c r="J143" s="81">
        <v>2822</v>
      </c>
      <c r="K143" s="81"/>
      <c r="L143" s="81">
        <v>0</v>
      </c>
      <c r="M143" s="81">
        <v>0</v>
      </c>
      <c r="N143" s="33" t="s">
        <v>205</v>
      </c>
    </row>
    <row r="144" spans="1:14" s="16" customFormat="1" ht="23.25" customHeight="1">
      <c r="A144" s="80"/>
      <c r="B144" s="259" t="s">
        <v>112</v>
      </c>
      <c r="C144" s="81">
        <v>4082</v>
      </c>
      <c r="D144" s="81">
        <v>4082</v>
      </c>
      <c r="E144" s="81">
        <v>0</v>
      </c>
      <c r="F144" s="11">
        <f>D144-E144</f>
        <v>4082</v>
      </c>
      <c r="G144" s="81">
        <f>SUM(H144:M144)</f>
        <v>2046</v>
      </c>
      <c r="H144" s="81"/>
      <c r="I144" s="81"/>
      <c r="J144" s="81">
        <v>2046</v>
      </c>
      <c r="K144" s="81"/>
      <c r="L144" s="81">
        <v>0</v>
      </c>
      <c r="M144" s="81">
        <v>0</v>
      </c>
      <c r="N144" s="33"/>
    </row>
    <row r="145" spans="1:14" s="16" customFormat="1" ht="15.75" customHeight="1">
      <c r="A145" s="80"/>
      <c r="B145" s="183"/>
      <c r="C145" s="82"/>
      <c r="D145" s="82"/>
      <c r="E145" s="82"/>
      <c r="F145" s="10"/>
      <c r="G145" s="82"/>
      <c r="H145" s="82"/>
      <c r="I145" s="82"/>
      <c r="J145" s="82"/>
      <c r="K145" s="82"/>
      <c r="L145" s="82"/>
      <c r="M145" s="82"/>
      <c r="N145" s="33"/>
    </row>
    <row r="146" spans="1:14" s="16" customFormat="1" ht="18.75" customHeight="1">
      <c r="A146" s="80" t="s">
        <v>175</v>
      </c>
      <c r="B146" s="61" t="s">
        <v>276</v>
      </c>
      <c r="C146" s="86">
        <f>C149+C150+C151</f>
        <v>7452</v>
      </c>
      <c r="D146" s="86">
        <f aca="true" t="shared" si="19" ref="D146:M146">D149+D150+D151</f>
        <v>7452</v>
      </c>
      <c r="E146" s="86">
        <f t="shared" si="19"/>
        <v>1749</v>
      </c>
      <c r="F146" s="86">
        <f t="shared" si="19"/>
        <v>5703</v>
      </c>
      <c r="G146" s="86">
        <f>G149+G150+G151</f>
        <v>5702</v>
      </c>
      <c r="H146" s="86">
        <f t="shared" si="19"/>
        <v>0</v>
      </c>
      <c r="I146" s="86">
        <f t="shared" si="19"/>
        <v>0</v>
      </c>
      <c r="J146" s="86">
        <f t="shared" si="19"/>
        <v>1232</v>
      </c>
      <c r="K146" s="86">
        <f t="shared" si="19"/>
        <v>0</v>
      </c>
      <c r="L146" s="86">
        <f t="shared" si="19"/>
        <v>4470</v>
      </c>
      <c r="M146" s="86">
        <f t="shared" si="19"/>
        <v>0</v>
      </c>
      <c r="N146" s="85"/>
    </row>
    <row r="147" spans="1:14" s="16" customFormat="1" ht="18.75" customHeight="1">
      <c r="A147" s="80"/>
      <c r="B147" s="62" t="s">
        <v>181</v>
      </c>
      <c r="C147" s="86">
        <v>0</v>
      </c>
      <c r="D147" s="86">
        <v>0</v>
      </c>
      <c r="E147" s="86">
        <v>0</v>
      </c>
      <c r="F147" s="86">
        <v>0</v>
      </c>
      <c r="G147" s="86">
        <v>0</v>
      </c>
      <c r="H147" s="86">
        <v>0</v>
      </c>
      <c r="I147" s="86">
        <v>0</v>
      </c>
      <c r="J147" s="86">
        <v>0</v>
      </c>
      <c r="K147" s="86">
        <v>0</v>
      </c>
      <c r="L147" s="86">
        <v>0</v>
      </c>
      <c r="M147" s="86">
        <v>0</v>
      </c>
      <c r="N147" s="85"/>
    </row>
    <row r="148" spans="1:14" s="16" customFormat="1" ht="15.75">
      <c r="A148" s="80"/>
      <c r="B148" s="26" t="s">
        <v>178</v>
      </c>
      <c r="C148" s="82"/>
      <c r="D148" s="82"/>
      <c r="E148" s="82"/>
      <c r="F148" s="82"/>
      <c r="G148" s="82"/>
      <c r="H148" s="82"/>
      <c r="I148" s="82"/>
      <c r="J148" s="82"/>
      <c r="K148" s="82"/>
      <c r="L148" s="82"/>
      <c r="M148" s="82"/>
      <c r="N148" s="85"/>
    </row>
    <row r="149" spans="1:14" s="16" customFormat="1" ht="18" customHeight="1">
      <c r="A149" s="80"/>
      <c r="B149" s="34" t="s">
        <v>152</v>
      </c>
      <c r="C149" s="87">
        <f>'Studii si proiecte 2022'!D72</f>
        <v>6727</v>
      </c>
      <c r="D149" s="87">
        <f>'Studii si proiecte 2022'!E72</f>
        <v>6727</v>
      </c>
      <c r="E149" s="87">
        <f>'Studii si proiecte 2022'!F72</f>
        <v>1749</v>
      </c>
      <c r="F149" s="87">
        <f>'Studii si proiecte 2022'!G72</f>
        <v>4978</v>
      </c>
      <c r="G149" s="87">
        <f>'Studii si proiecte 2022'!H72</f>
        <v>4977</v>
      </c>
      <c r="H149" s="87">
        <f>'Studii si proiecte 2022'!I72</f>
        <v>0</v>
      </c>
      <c r="I149" s="87">
        <f>'Studii si proiecte 2022'!J72</f>
        <v>0</v>
      </c>
      <c r="J149" s="87">
        <f>'Studii si proiecte 2022'!K72</f>
        <v>518</v>
      </c>
      <c r="K149" s="87">
        <f>'Studii si proiecte 2022'!L72</f>
        <v>0</v>
      </c>
      <c r="L149" s="87">
        <f>'Studii si proiecte 2022'!M72</f>
        <v>4459</v>
      </c>
      <c r="M149" s="87">
        <f>'Studii si proiecte 2022'!N72</f>
        <v>0</v>
      </c>
      <c r="N149" s="85"/>
    </row>
    <row r="150" spans="1:14" s="16" customFormat="1" ht="18" customHeight="1">
      <c r="A150" s="80"/>
      <c r="B150" s="34" t="s">
        <v>453</v>
      </c>
      <c r="C150" s="87">
        <f>'Dotari 2022'!D53</f>
        <v>715</v>
      </c>
      <c r="D150" s="87">
        <f>'Dotari 2022'!E53</f>
        <v>715</v>
      </c>
      <c r="E150" s="87">
        <f>'Dotari 2022'!F53</f>
        <v>0</v>
      </c>
      <c r="F150" s="87">
        <f>'Dotari 2022'!G53</f>
        <v>715</v>
      </c>
      <c r="G150" s="87">
        <f>'Dotari 2022'!H53</f>
        <v>715</v>
      </c>
      <c r="H150" s="87">
        <f>'Dotari 2022'!I53</f>
        <v>0</v>
      </c>
      <c r="I150" s="87">
        <f>'Dotari 2022'!J53</f>
        <v>0</v>
      </c>
      <c r="J150" s="87">
        <f>'Dotari 2022'!K53</f>
        <v>714</v>
      </c>
      <c r="K150" s="87">
        <f>'Dotari 2022'!L53</f>
        <v>0</v>
      </c>
      <c r="L150" s="87">
        <f>'Dotari 2022'!M53</f>
        <v>1</v>
      </c>
      <c r="M150" s="87">
        <f>'Dotari 2022'!N53</f>
        <v>0</v>
      </c>
      <c r="N150" s="85"/>
    </row>
    <row r="151" spans="1:14" s="16" customFormat="1" ht="18" customHeight="1">
      <c r="A151" s="80"/>
      <c r="B151" s="34" t="s">
        <v>270</v>
      </c>
      <c r="C151" s="87">
        <f>'Alte chelt 2022'!D24</f>
        <v>10</v>
      </c>
      <c r="D151" s="87">
        <f>'Alte chelt 2022'!E24</f>
        <v>10</v>
      </c>
      <c r="E151" s="87">
        <f>'Alte chelt 2022'!F24</f>
        <v>0</v>
      </c>
      <c r="F151" s="87">
        <f>'Alte chelt 2022'!G24</f>
        <v>10</v>
      </c>
      <c r="G151" s="87">
        <f>'Alte chelt 2022'!H24</f>
        <v>10</v>
      </c>
      <c r="H151" s="87">
        <f>'Alte chelt 2022'!I24</f>
        <v>0</v>
      </c>
      <c r="I151" s="87">
        <f>'Alte chelt 2022'!J24</f>
        <v>0</v>
      </c>
      <c r="J151" s="87">
        <f>'Alte chelt 2022'!K24</f>
        <v>0</v>
      </c>
      <c r="K151" s="87">
        <f>'Alte chelt 2022'!L24</f>
        <v>0</v>
      </c>
      <c r="L151" s="87">
        <f>'Alte chelt 2022'!M24</f>
        <v>10</v>
      </c>
      <c r="M151" s="87">
        <f>'Alte chelt 2022'!N24</f>
        <v>0</v>
      </c>
      <c r="N151" s="85"/>
    </row>
    <row r="152" spans="1:14" s="16" customFormat="1" ht="18" customHeight="1">
      <c r="A152" s="80"/>
      <c r="B152" s="34"/>
      <c r="C152" s="87"/>
      <c r="D152" s="87"/>
      <c r="E152" s="87"/>
      <c r="F152" s="87"/>
      <c r="G152" s="87"/>
      <c r="H152" s="87"/>
      <c r="I152" s="87"/>
      <c r="J152" s="87"/>
      <c r="K152" s="87"/>
      <c r="L152" s="87"/>
      <c r="M152" s="87"/>
      <c r="N152" s="85"/>
    </row>
    <row r="153" spans="1:14" s="16" customFormat="1" ht="18" customHeight="1">
      <c r="A153" s="80"/>
      <c r="B153" s="34"/>
      <c r="C153" s="87"/>
      <c r="D153" s="87"/>
      <c r="E153" s="87"/>
      <c r="F153" s="87"/>
      <c r="G153" s="87"/>
      <c r="H153" s="87"/>
      <c r="I153" s="87"/>
      <c r="J153" s="87"/>
      <c r="K153" s="87"/>
      <c r="L153" s="87"/>
      <c r="M153" s="87"/>
      <c r="N153" s="85"/>
    </row>
    <row r="154" spans="1:14" s="16" customFormat="1" ht="18" customHeight="1">
      <c r="A154" s="80"/>
      <c r="B154" s="34"/>
      <c r="C154" s="87"/>
      <c r="D154" s="87"/>
      <c r="E154" s="87"/>
      <c r="F154" s="87"/>
      <c r="G154" s="87"/>
      <c r="H154" s="87"/>
      <c r="I154" s="87"/>
      <c r="J154" s="87"/>
      <c r="K154" s="87"/>
      <c r="L154" s="87"/>
      <c r="M154" s="87"/>
      <c r="N154" s="85"/>
    </row>
    <row r="155" spans="1:14" s="16" customFormat="1" ht="18" customHeight="1">
      <c r="A155" s="80"/>
      <c r="B155" s="34"/>
      <c r="C155" s="87"/>
      <c r="D155" s="87"/>
      <c r="E155" s="87"/>
      <c r="F155" s="87"/>
      <c r="G155" s="87"/>
      <c r="H155" s="87"/>
      <c r="I155" s="87"/>
      <c r="J155" s="87"/>
      <c r="K155" s="87"/>
      <c r="L155" s="87"/>
      <c r="M155" s="87"/>
      <c r="N155" s="85"/>
    </row>
    <row r="156" spans="1:14" s="16" customFormat="1" ht="18" customHeight="1">
      <c r="A156" s="80"/>
      <c r="B156" s="34"/>
      <c r="C156" s="87"/>
      <c r="D156" s="87"/>
      <c r="E156" s="87"/>
      <c r="F156" s="87"/>
      <c r="G156" s="87"/>
      <c r="H156" s="87"/>
      <c r="I156" s="87"/>
      <c r="J156" s="87"/>
      <c r="K156" s="87"/>
      <c r="L156" s="87"/>
      <c r="M156" s="87"/>
      <c r="N156" s="85"/>
    </row>
    <row r="157" spans="1:14" s="16" customFormat="1" ht="18" customHeight="1">
      <c r="A157" s="80"/>
      <c r="B157" s="34"/>
      <c r="C157" s="87"/>
      <c r="D157" s="87"/>
      <c r="E157" s="87"/>
      <c r="F157" s="87"/>
      <c r="G157" s="87"/>
      <c r="H157" s="87"/>
      <c r="I157" s="87"/>
      <c r="J157" s="87"/>
      <c r="K157" s="87"/>
      <c r="L157" s="87"/>
      <c r="M157" s="87"/>
      <c r="N157" s="85"/>
    </row>
    <row r="158" spans="1:14" s="16" customFormat="1" ht="18" customHeight="1">
      <c r="A158" s="80"/>
      <c r="B158" s="34"/>
      <c r="C158" s="87"/>
      <c r="D158" s="87"/>
      <c r="E158" s="87"/>
      <c r="F158" s="87"/>
      <c r="G158" s="87"/>
      <c r="H158" s="87"/>
      <c r="I158" s="87"/>
      <c r="J158" s="87"/>
      <c r="K158" s="87"/>
      <c r="L158" s="87"/>
      <c r="M158" s="87"/>
      <c r="N158" s="85"/>
    </row>
    <row r="159" spans="1:14" s="16" customFormat="1" ht="18" customHeight="1">
      <c r="A159" s="80"/>
      <c r="B159" s="34"/>
      <c r="C159" s="87"/>
      <c r="D159" s="87"/>
      <c r="E159" s="87"/>
      <c r="F159" s="87"/>
      <c r="G159" s="87"/>
      <c r="H159" s="87"/>
      <c r="I159" s="87"/>
      <c r="J159" s="87"/>
      <c r="K159" s="87"/>
      <c r="L159" s="87"/>
      <c r="M159" s="87"/>
      <c r="N159" s="85"/>
    </row>
    <row r="160" spans="1:14" s="16" customFormat="1" ht="18" customHeight="1">
      <c r="A160" s="80"/>
      <c r="B160" s="34"/>
      <c r="C160" s="87"/>
      <c r="D160" s="87"/>
      <c r="E160" s="87"/>
      <c r="F160" s="87"/>
      <c r="G160" s="87"/>
      <c r="H160" s="87"/>
      <c r="I160" s="87"/>
      <c r="J160" s="87"/>
      <c r="K160" s="87"/>
      <c r="L160" s="87"/>
      <c r="M160" s="87"/>
      <c r="N160" s="85"/>
    </row>
    <row r="161" spans="1:14" s="16" customFormat="1" ht="18" customHeight="1">
      <c r="A161" s="80"/>
      <c r="B161" s="34"/>
      <c r="C161" s="87"/>
      <c r="D161" s="87"/>
      <c r="E161" s="87"/>
      <c r="F161" s="87"/>
      <c r="G161" s="87"/>
      <c r="H161" s="87"/>
      <c r="I161" s="87"/>
      <c r="J161" s="87"/>
      <c r="K161" s="87"/>
      <c r="L161" s="87"/>
      <c r="M161" s="87"/>
      <c r="N161" s="85"/>
    </row>
    <row r="162" spans="1:14" s="16" customFormat="1" ht="18" customHeight="1">
      <c r="A162" s="80"/>
      <c r="B162" s="34"/>
      <c r="C162" s="87"/>
      <c r="D162" s="87"/>
      <c r="E162" s="87"/>
      <c r="F162" s="87"/>
      <c r="G162" s="87"/>
      <c r="H162" s="87"/>
      <c r="I162" s="87"/>
      <c r="J162" s="87"/>
      <c r="K162" s="87"/>
      <c r="L162" s="87"/>
      <c r="M162" s="87"/>
      <c r="N162" s="85"/>
    </row>
    <row r="163" spans="1:14" s="16" customFormat="1" ht="18" customHeight="1">
      <c r="A163" s="80"/>
      <c r="B163" s="34"/>
      <c r="C163" s="87"/>
      <c r="D163" s="87"/>
      <c r="E163" s="87"/>
      <c r="F163" s="87"/>
      <c r="G163" s="87"/>
      <c r="H163" s="87"/>
      <c r="I163" s="87"/>
      <c r="J163" s="87"/>
      <c r="K163" s="87"/>
      <c r="L163" s="87"/>
      <c r="M163" s="87"/>
      <c r="N163" s="85"/>
    </row>
    <row r="164" spans="1:14" s="16" customFormat="1" ht="18" customHeight="1">
      <c r="A164" s="80"/>
      <c r="B164" s="34"/>
      <c r="C164" s="87"/>
      <c r="D164" s="87"/>
      <c r="E164" s="87"/>
      <c r="F164" s="87"/>
      <c r="G164" s="87"/>
      <c r="H164" s="87"/>
      <c r="I164" s="87"/>
      <c r="J164" s="87"/>
      <c r="K164" s="87"/>
      <c r="L164" s="87"/>
      <c r="M164" s="87"/>
      <c r="N164" s="85"/>
    </row>
    <row r="165" spans="1:14" s="16" customFormat="1" ht="18" customHeight="1">
      <c r="A165" s="80"/>
      <c r="B165" s="34"/>
      <c r="C165" s="87"/>
      <c r="D165" s="87"/>
      <c r="E165" s="87"/>
      <c r="F165" s="87"/>
      <c r="G165" s="87"/>
      <c r="H165" s="87"/>
      <c r="I165" s="87"/>
      <c r="J165" s="87"/>
      <c r="K165" s="87"/>
      <c r="L165" s="87"/>
      <c r="M165" s="87"/>
      <c r="N165" s="85"/>
    </row>
    <row r="166" spans="1:14" s="16" customFormat="1" ht="8.25" customHeight="1">
      <c r="A166" s="80"/>
      <c r="B166" s="34"/>
      <c r="C166" s="87"/>
      <c r="D166" s="87"/>
      <c r="E166" s="87"/>
      <c r="F166" s="87"/>
      <c r="G166" s="87"/>
      <c r="H166" s="87"/>
      <c r="I166" s="87"/>
      <c r="J166" s="87"/>
      <c r="K166" s="87"/>
      <c r="L166" s="87"/>
      <c r="M166" s="87"/>
      <c r="N166" s="85"/>
    </row>
    <row r="167" spans="1:14" s="16" customFormat="1" ht="8.25" customHeight="1">
      <c r="A167" s="80"/>
      <c r="B167" s="34"/>
      <c r="C167" s="87"/>
      <c r="D167" s="87"/>
      <c r="E167" s="87"/>
      <c r="F167" s="87"/>
      <c r="G167" s="87"/>
      <c r="H167" s="87"/>
      <c r="I167" s="87"/>
      <c r="J167" s="87"/>
      <c r="K167" s="87"/>
      <c r="L167" s="87"/>
      <c r="M167" s="87"/>
      <c r="N167" s="85"/>
    </row>
    <row r="168" spans="1:14" s="16" customFormat="1" ht="15.75" customHeight="1">
      <c r="A168" s="80"/>
      <c r="B168" s="34"/>
      <c r="C168" s="87"/>
      <c r="D168" s="87"/>
      <c r="E168" s="87"/>
      <c r="F168" s="87"/>
      <c r="G168" s="87"/>
      <c r="H168" s="87"/>
      <c r="I168" s="87"/>
      <c r="J168" s="87"/>
      <c r="K168" s="87"/>
      <c r="L168" s="87"/>
      <c r="M168" s="87"/>
      <c r="N168" s="85"/>
    </row>
    <row r="169" spans="1:14" s="16" customFormat="1" ht="36" customHeight="1">
      <c r="A169" s="282"/>
      <c r="B169" s="88" t="s">
        <v>255</v>
      </c>
      <c r="C169" s="18" t="s">
        <v>256</v>
      </c>
      <c r="D169" s="18"/>
      <c r="E169" s="18"/>
      <c r="F169" s="18"/>
      <c r="G169" s="18"/>
      <c r="H169" s="15"/>
      <c r="I169" s="15"/>
      <c r="J169" s="15"/>
      <c r="K169" s="15"/>
      <c r="L169" s="79"/>
      <c r="M169" s="15" t="s">
        <v>185</v>
      </c>
      <c r="N169" s="85"/>
    </row>
    <row r="170" spans="1:14" s="16" customFormat="1" ht="21" customHeight="1">
      <c r="A170" s="80"/>
      <c r="B170" s="26" t="s">
        <v>178</v>
      </c>
      <c r="C170" s="89">
        <f aca="true" t="shared" si="20" ref="C170:M170">C173+C176+C182</f>
        <v>84122</v>
      </c>
      <c r="D170" s="89">
        <f t="shared" si="20"/>
        <v>84122</v>
      </c>
      <c r="E170" s="89">
        <f t="shared" si="20"/>
        <v>1729</v>
      </c>
      <c r="F170" s="89">
        <f t="shared" si="20"/>
        <v>82393</v>
      </c>
      <c r="G170" s="89">
        <f t="shared" si="20"/>
        <v>60342</v>
      </c>
      <c r="H170" s="89">
        <f t="shared" si="20"/>
        <v>0</v>
      </c>
      <c r="I170" s="89">
        <f t="shared" si="20"/>
        <v>0</v>
      </c>
      <c r="J170" s="89">
        <f t="shared" si="20"/>
        <v>53161</v>
      </c>
      <c r="K170" s="89">
        <f t="shared" si="20"/>
        <v>2818</v>
      </c>
      <c r="L170" s="89">
        <f t="shared" si="20"/>
        <v>4363</v>
      </c>
      <c r="M170" s="89">
        <f t="shared" si="20"/>
        <v>0</v>
      </c>
      <c r="N170" s="85"/>
    </row>
    <row r="171" spans="1:14" s="16" customFormat="1" ht="21" customHeight="1">
      <c r="A171" s="80"/>
      <c r="B171" s="34"/>
      <c r="C171" s="89">
        <f aca="true" t="shared" si="21" ref="C171:M171">C174+C177+C183</f>
        <v>14718</v>
      </c>
      <c r="D171" s="89">
        <f t="shared" si="21"/>
        <v>14718</v>
      </c>
      <c r="E171" s="89">
        <f t="shared" si="21"/>
        <v>0</v>
      </c>
      <c r="F171" s="89">
        <f t="shared" si="21"/>
        <v>14718</v>
      </c>
      <c r="G171" s="89">
        <f t="shared" si="21"/>
        <v>2800</v>
      </c>
      <c r="H171" s="89">
        <f t="shared" si="21"/>
        <v>0</v>
      </c>
      <c r="I171" s="89">
        <f t="shared" si="21"/>
        <v>0</v>
      </c>
      <c r="J171" s="89">
        <f t="shared" si="21"/>
        <v>2800</v>
      </c>
      <c r="K171" s="89">
        <f t="shared" si="21"/>
        <v>0</v>
      </c>
      <c r="L171" s="89">
        <f t="shared" si="21"/>
        <v>0</v>
      </c>
      <c r="M171" s="89">
        <f t="shared" si="21"/>
        <v>0</v>
      </c>
      <c r="N171" s="85"/>
    </row>
    <row r="172" spans="1:14" s="16" customFormat="1" ht="15.75" customHeight="1">
      <c r="A172" s="80"/>
      <c r="B172" s="34"/>
      <c r="C172" s="82"/>
      <c r="D172" s="82"/>
      <c r="E172" s="82"/>
      <c r="F172" s="82"/>
      <c r="G172" s="82"/>
      <c r="H172" s="82"/>
      <c r="I172" s="82"/>
      <c r="J172" s="82"/>
      <c r="K172" s="82"/>
      <c r="L172" s="82"/>
      <c r="M172" s="82"/>
      <c r="N172" s="85"/>
    </row>
    <row r="173" spans="1:14" s="16" customFormat="1" ht="19.5" customHeight="1">
      <c r="A173" s="80" t="s">
        <v>232</v>
      </c>
      <c r="B173" s="61" t="s">
        <v>179</v>
      </c>
      <c r="C173" s="81">
        <v>0</v>
      </c>
      <c r="D173" s="81">
        <v>0</v>
      </c>
      <c r="E173" s="81">
        <v>0</v>
      </c>
      <c r="F173" s="81">
        <v>0</v>
      </c>
      <c r="G173" s="81">
        <f>SUM(H173:M173)</f>
        <v>0</v>
      </c>
      <c r="H173" s="81">
        <v>0</v>
      </c>
      <c r="I173" s="81">
        <v>0</v>
      </c>
      <c r="J173" s="81">
        <v>0</v>
      </c>
      <c r="K173" s="81">
        <v>0</v>
      </c>
      <c r="L173" s="81">
        <v>0</v>
      </c>
      <c r="M173" s="81">
        <v>0</v>
      </c>
      <c r="N173" s="85"/>
    </row>
    <row r="174" spans="1:14" s="16" customFormat="1" ht="19.5" customHeight="1">
      <c r="A174" s="80"/>
      <c r="B174" s="62" t="s">
        <v>172</v>
      </c>
      <c r="C174" s="81">
        <v>0</v>
      </c>
      <c r="D174" s="81">
        <v>0</v>
      </c>
      <c r="E174" s="81">
        <v>0</v>
      </c>
      <c r="F174" s="81">
        <v>0</v>
      </c>
      <c r="G174" s="81">
        <f>SUM(H174:M174)</f>
        <v>0</v>
      </c>
      <c r="H174" s="81">
        <v>0</v>
      </c>
      <c r="I174" s="81">
        <v>0</v>
      </c>
      <c r="J174" s="81">
        <v>0</v>
      </c>
      <c r="K174" s="81">
        <v>0</v>
      </c>
      <c r="L174" s="81">
        <v>0</v>
      </c>
      <c r="M174" s="81">
        <v>0</v>
      </c>
      <c r="N174" s="85"/>
    </row>
    <row r="175" spans="1:14" s="16" customFormat="1" ht="19.5" customHeight="1">
      <c r="A175" s="80"/>
      <c r="B175" s="57"/>
      <c r="C175" s="82"/>
      <c r="D175" s="82"/>
      <c r="E175" s="82"/>
      <c r="F175" s="82"/>
      <c r="G175" s="82"/>
      <c r="H175" s="82"/>
      <c r="I175" s="82"/>
      <c r="J175" s="82"/>
      <c r="K175" s="82"/>
      <c r="L175" s="82"/>
      <c r="M175" s="82"/>
      <c r="N175" s="33"/>
    </row>
    <row r="176" spans="1:14" s="16" customFormat="1" ht="26.25" customHeight="1">
      <c r="A176" s="17" t="s">
        <v>173</v>
      </c>
      <c r="B176" s="61" t="s">
        <v>179</v>
      </c>
      <c r="C176" s="86">
        <f>C179</f>
        <v>25051</v>
      </c>
      <c r="D176" s="86">
        <f aca="true" t="shared" si="22" ref="D176:M176">D179</f>
        <v>25051</v>
      </c>
      <c r="E176" s="86">
        <f t="shared" si="22"/>
        <v>0</v>
      </c>
      <c r="F176" s="86">
        <f t="shared" si="22"/>
        <v>25051</v>
      </c>
      <c r="G176" s="86">
        <f t="shared" si="22"/>
        <v>3000</v>
      </c>
      <c r="H176" s="86">
        <f t="shared" si="22"/>
        <v>0</v>
      </c>
      <c r="I176" s="86">
        <f t="shared" si="22"/>
        <v>0</v>
      </c>
      <c r="J176" s="86">
        <f t="shared" si="22"/>
        <v>3000</v>
      </c>
      <c r="K176" s="86">
        <f t="shared" si="22"/>
        <v>0</v>
      </c>
      <c r="L176" s="86">
        <f t="shared" si="22"/>
        <v>0</v>
      </c>
      <c r="M176" s="86">
        <f t="shared" si="22"/>
        <v>0</v>
      </c>
      <c r="N176" s="33"/>
    </row>
    <row r="177" spans="1:14" s="16" customFormat="1" ht="26.25" customHeight="1">
      <c r="A177" s="80"/>
      <c r="B177" s="62" t="s">
        <v>174</v>
      </c>
      <c r="C177" s="86">
        <f>C180</f>
        <v>14718</v>
      </c>
      <c r="D177" s="86">
        <f aca="true" t="shared" si="23" ref="D177:M177">D180</f>
        <v>14718</v>
      </c>
      <c r="E177" s="86">
        <f t="shared" si="23"/>
        <v>0</v>
      </c>
      <c r="F177" s="86">
        <f t="shared" si="23"/>
        <v>14718</v>
      </c>
      <c r="G177" s="86">
        <f t="shared" si="23"/>
        <v>2800</v>
      </c>
      <c r="H177" s="86">
        <f t="shared" si="23"/>
        <v>0</v>
      </c>
      <c r="I177" s="86">
        <f t="shared" si="23"/>
        <v>0</v>
      </c>
      <c r="J177" s="86">
        <f t="shared" si="23"/>
        <v>2800</v>
      </c>
      <c r="K177" s="86">
        <f t="shared" si="23"/>
        <v>0</v>
      </c>
      <c r="L177" s="86">
        <f t="shared" si="23"/>
        <v>0</v>
      </c>
      <c r="M177" s="86">
        <f t="shared" si="23"/>
        <v>0</v>
      </c>
      <c r="N177" s="85"/>
    </row>
    <row r="178" spans="1:14" s="16" customFormat="1" ht="17.25" customHeight="1">
      <c r="A178" s="80"/>
      <c r="B178" s="57"/>
      <c r="C178" s="82"/>
      <c r="D178" s="82"/>
      <c r="E178" s="82"/>
      <c r="F178" s="82"/>
      <c r="G178" s="82"/>
      <c r="H178" s="82"/>
      <c r="I178" s="82"/>
      <c r="J178" s="82"/>
      <c r="K178" s="82"/>
      <c r="L178" s="82"/>
      <c r="M178" s="82"/>
      <c r="N178" s="85"/>
    </row>
    <row r="179" spans="1:14" s="16" customFormat="1" ht="33.75" customHeight="1">
      <c r="A179" s="80">
        <v>1</v>
      </c>
      <c r="B179" s="309" t="s">
        <v>80</v>
      </c>
      <c r="C179" s="308">
        <v>25051</v>
      </c>
      <c r="D179" s="308">
        <f>C179</f>
        <v>25051</v>
      </c>
      <c r="E179" s="308">
        <v>0</v>
      </c>
      <c r="F179" s="11">
        <f>D179-E179</f>
        <v>25051</v>
      </c>
      <c r="G179" s="81">
        <f>SUM(H179:M179)</f>
        <v>3000</v>
      </c>
      <c r="H179" s="81"/>
      <c r="I179" s="81"/>
      <c r="J179" s="81">
        <v>3000</v>
      </c>
      <c r="K179" s="81"/>
      <c r="L179" s="81">
        <v>0</v>
      </c>
      <c r="M179" s="81">
        <v>0</v>
      </c>
      <c r="N179" s="33" t="s">
        <v>205</v>
      </c>
    </row>
    <row r="180" spans="1:14" s="16" customFormat="1" ht="26.25" customHeight="1">
      <c r="A180" s="80"/>
      <c r="B180" s="241" t="s">
        <v>146</v>
      </c>
      <c r="C180" s="81">
        <v>14718</v>
      </c>
      <c r="D180" s="81">
        <f>C180</f>
        <v>14718</v>
      </c>
      <c r="E180" s="81">
        <v>0</v>
      </c>
      <c r="F180" s="11">
        <f>D180-E180</f>
        <v>14718</v>
      </c>
      <c r="G180" s="81">
        <f>SUM(H180:M180)</f>
        <v>2800</v>
      </c>
      <c r="H180" s="81"/>
      <c r="I180" s="81"/>
      <c r="J180" s="81">
        <v>2800</v>
      </c>
      <c r="K180" s="81"/>
      <c r="L180" s="81">
        <v>0</v>
      </c>
      <c r="M180" s="81">
        <v>0</v>
      </c>
      <c r="N180" s="33"/>
    </row>
    <row r="181" spans="1:14" s="16" customFormat="1" ht="15.75" customHeight="1">
      <c r="A181" s="80"/>
      <c r="B181" s="57"/>
      <c r="C181" s="82"/>
      <c r="D181" s="82"/>
      <c r="E181" s="82"/>
      <c r="F181" s="82"/>
      <c r="G181" s="82"/>
      <c r="H181" s="82"/>
      <c r="I181" s="82"/>
      <c r="J181" s="82"/>
      <c r="K181" s="82"/>
      <c r="L181" s="82"/>
      <c r="M181" s="82"/>
      <c r="N181" s="85"/>
    </row>
    <row r="182" spans="1:14" s="16" customFormat="1" ht="26.25" customHeight="1">
      <c r="A182" s="80" t="s">
        <v>175</v>
      </c>
      <c r="B182" s="61" t="s">
        <v>180</v>
      </c>
      <c r="C182" s="81">
        <f>C185+C186+C187</f>
        <v>59071</v>
      </c>
      <c r="D182" s="81">
        <f aca="true" t="shared" si="24" ref="D182:M182">D185+D186+D187</f>
        <v>59071</v>
      </c>
      <c r="E182" s="81">
        <f t="shared" si="24"/>
        <v>1729</v>
      </c>
      <c r="F182" s="81">
        <f t="shared" si="24"/>
        <v>57342</v>
      </c>
      <c r="G182" s="81">
        <f>G185+G186+G187</f>
        <v>57342</v>
      </c>
      <c r="H182" s="81">
        <f t="shared" si="24"/>
        <v>0</v>
      </c>
      <c r="I182" s="81">
        <f t="shared" si="24"/>
        <v>0</v>
      </c>
      <c r="J182" s="81">
        <f t="shared" si="24"/>
        <v>50161</v>
      </c>
      <c r="K182" s="81">
        <f>K185+K186+K187</f>
        <v>2818</v>
      </c>
      <c r="L182" s="81">
        <f t="shared" si="24"/>
        <v>4363</v>
      </c>
      <c r="M182" s="81">
        <f t="shared" si="24"/>
        <v>0</v>
      </c>
      <c r="N182" s="85"/>
    </row>
    <row r="183" spans="1:14" s="16" customFormat="1" ht="26.25" customHeight="1">
      <c r="A183" s="80"/>
      <c r="B183" s="62" t="s">
        <v>181</v>
      </c>
      <c r="C183" s="81"/>
      <c r="D183" s="81"/>
      <c r="E183" s="81"/>
      <c r="F183" s="81"/>
      <c r="G183" s="81"/>
      <c r="H183" s="81"/>
      <c r="I183" s="81"/>
      <c r="J183" s="81"/>
      <c r="K183" s="81"/>
      <c r="L183" s="81"/>
      <c r="M183" s="81"/>
      <c r="N183" s="85"/>
    </row>
    <row r="184" spans="1:14" s="16" customFormat="1" ht="26.25" customHeight="1">
      <c r="A184" s="80"/>
      <c r="B184" s="26" t="s">
        <v>178</v>
      </c>
      <c r="C184" s="87"/>
      <c r="D184" s="87"/>
      <c r="E184" s="87"/>
      <c r="F184" s="87"/>
      <c r="G184" s="87"/>
      <c r="H184" s="87"/>
      <c r="I184" s="87"/>
      <c r="J184" s="87"/>
      <c r="K184" s="87"/>
      <c r="L184" s="87"/>
      <c r="M184" s="87"/>
      <c r="N184" s="85"/>
    </row>
    <row r="185" spans="1:14" s="16" customFormat="1" ht="23.25" customHeight="1">
      <c r="A185" s="73"/>
      <c r="B185" s="194" t="s">
        <v>271</v>
      </c>
      <c r="C185" s="87">
        <f>'Studii si proiecte 2022'!D89</f>
        <v>6605</v>
      </c>
      <c r="D185" s="87">
        <f>'Studii si proiecte 2022'!E89</f>
        <v>6605</v>
      </c>
      <c r="E185" s="87">
        <f>'Studii si proiecte 2022'!F89</f>
        <v>1729</v>
      </c>
      <c r="F185" s="87">
        <f>'Studii si proiecte 2022'!G89</f>
        <v>4876</v>
      </c>
      <c r="G185" s="87">
        <f>'Studii si proiecte 2022'!H89</f>
        <v>4876</v>
      </c>
      <c r="H185" s="87">
        <f>'Studii si proiecte 2022'!I89</f>
        <v>0</v>
      </c>
      <c r="I185" s="87">
        <f>'Studii si proiecte 2022'!J89</f>
        <v>0</v>
      </c>
      <c r="J185" s="87">
        <f>'Studii si proiecte 2022'!K89</f>
        <v>270</v>
      </c>
      <c r="K185" s="87">
        <f>'Studii si proiecte 2022'!L89</f>
        <v>306</v>
      </c>
      <c r="L185" s="87">
        <f>'Studii si proiecte 2022'!M89</f>
        <v>4300</v>
      </c>
      <c r="M185" s="87">
        <f>'Studii si proiecte 2022'!N89</f>
        <v>0</v>
      </c>
      <c r="N185" s="85"/>
    </row>
    <row r="186" spans="1:14" s="16" customFormat="1" ht="23.25" customHeight="1">
      <c r="A186" s="73"/>
      <c r="B186" s="194" t="s">
        <v>267</v>
      </c>
      <c r="C186" s="74">
        <f>'Dotari 2022'!D61</f>
        <v>358</v>
      </c>
      <c r="D186" s="74">
        <f>'Dotari 2022'!E61</f>
        <v>358</v>
      </c>
      <c r="E186" s="74">
        <f>'Dotari 2022'!F61</f>
        <v>0</v>
      </c>
      <c r="F186" s="74">
        <f>'Dotari 2022'!G61</f>
        <v>358</v>
      </c>
      <c r="G186" s="74">
        <f>'Dotari 2022'!H61</f>
        <v>358</v>
      </c>
      <c r="H186" s="74">
        <f>'Dotari 2022'!I61</f>
        <v>0</v>
      </c>
      <c r="I186" s="74">
        <f>'Dotari 2022'!J61</f>
        <v>0</v>
      </c>
      <c r="J186" s="74">
        <f>'Dotari 2022'!K61</f>
        <v>3</v>
      </c>
      <c r="K186" s="74">
        <f>'Dotari 2022'!L61</f>
        <v>292</v>
      </c>
      <c r="L186" s="74">
        <f>'Dotari 2022'!M61</f>
        <v>63</v>
      </c>
      <c r="M186" s="74">
        <f>'Dotari 2022'!N61</f>
        <v>0</v>
      </c>
      <c r="N186" s="85"/>
    </row>
    <row r="187" spans="1:14" s="16" customFormat="1" ht="23.25" customHeight="1">
      <c r="A187" s="73"/>
      <c r="B187" s="194" t="s">
        <v>269</v>
      </c>
      <c r="C187" s="74">
        <f>'Alte chelt 2022'!D36</f>
        <v>52108</v>
      </c>
      <c r="D187" s="74">
        <f>'Alte chelt 2022'!E36</f>
        <v>52108</v>
      </c>
      <c r="E187" s="74">
        <f>'Alte chelt 2022'!F36</f>
        <v>0</v>
      </c>
      <c r="F187" s="74">
        <f>'Alte chelt 2022'!G36</f>
        <v>52108</v>
      </c>
      <c r="G187" s="74">
        <f>'Alte chelt 2022'!H36</f>
        <v>52108</v>
      </c>
      <c r="H187" s="74">
        <f>'Alte chelt 2022'!I36</f>
        <v>0</v>
      </c>
      <c r="I187" s="74">
        <f>'Alte chelt 2022'!J36</f>
        <v>0</v>
      </c>
      <c r="J187" s="74">
        <f>'Alte chelt 2022'!K36</f>
        <v>49888</v>
      </c>
      <c r="K187" s="74">
        <f>'Alte chelt 2022'!L36</f>
        <v>2220</v>
      </c>
      <c r="L187" s="74">
        <f>'Alte chelt 2022'!M36</f>
        <v>0</v>
      </c>
      <c r="M187" s="74">
        <f>'Alte chelt 2022'!N36</f>
        <v>0</v>
      </c>
      <c r="N187" s="85"/>
    </row>
    <row r="188" spans="1:14" s="16" customFormat="1" ht="15.75">
      <c r="A188" s="73"/>
      <c r="B188" s="194"/>
      <c r="C188" s="74"/>
      <c r="D188" s="74"/>
      <c r="E188" s="74"/>
      <c r="F188" s="74"/>
      <c r="G188" s="74"/>
      <c r="H188" s="74"/>
      <c r="I188" s="74"/>
      <c r="J188" s="74"/>
      <c r="K188" s="74"/>
      <c r="L188" s="74"/>
      <c r="M188" s="74"/>
      <c r="N188" s="85"/>
    </row>
    <row r="189" spans="1:14" s="16" customFormat="1" ht="15.75">
      <c r="A189" s="73"/>
      <c r="B189" s="194"/>
      <c r="C189" s="74"/>
      <c r="D189" s="74"/>
      <c r="E189" s="74"/>
      <c r="F189" s="74"/>
      <c r="G189" s="74"/>
      <c r="H189" s="74"/>
      <c r="I189" s="74"/>
      <c r="J189" s="74"/>
      <c r="K189" s="74"/>
      <c r="L189" s="74"/>
      <c r="M189" s="74"/>
      <c r="N189" s="85"/>
    </row>
    <row r="190" spans="1:14" s="16" customFormat="1" ht="27.75" customHeight="1">
      <c r="A190" s="21"/>
      <c r="B190" s="213" t="s">
        <v>240</v>
      </c>
      <c r="C190" s="23" t="s">
        <v>241</v>
      </c>
      <c r="D190" s="24"/>
      <c r="E190" s="24"/>
      <c r="F190" s="24"/>
      <c r="G190" s="10"/>
      <c r="H190" s="10"/>
      <c r="I190" s="10"/>
      <c r="J190" s="10"/>
      <c r="K190" s="10"/>
      <c r="L190" s="10"/>
      <c r="M190" s="10" t="s">
        <v>185</v>
      </c>
      <c r="N190" s="85"/>
    </row>
    <row r="191" spans="1:14" s="16" customFormat="1" ht="22.5" customHeight="1">
      <c r="A191" s="25"/>
      <c r="B191" s="26" t="s">
        <v>178</v>
      </c>
      <c r="C191" s="27">
        <f aca="true" t="shared" si="25" ref="C191:M191">C194+C200+C206</f>
        <v>43951</v>
      </c>
      <c r="D191" s="27">
        <f t="shared" si="25"/>
        <v>50026</v>
      </c>
      <c r="E191" s="27">
        <f t="shared" si="25"/>
        <v>1765</v>
      </c>
      <c r="F191" s="27">
        <f t="shared" si="25"/>
        <v>48261</v>
      </c>
      <c r="G191" s="27">
        <f t="shared" si="25"/>
        <v>23133</v>
      </c>
      <c r="H191" s="27">
        <f t="shared" si="25"/>
        <v>0</v>
      </c>
      <c r="I191" s="27">
        <f t="shared" si="25"/>
        <v>0</v>
      </c>
      <c r="J191" s="27">
        <f t="shared" si="25"/>
        <v>6692</v>
      </c>
      <c r="K191" s="27">
        <f t="shared" si="25"/>
        <v>0</v>
      </c>
      <c r="L191" s="27">
        <f t="shared" si="25"/>
        <v>16441</v>
      </c>
      <c r="M191" s="27">
        <f t="shared" si="25"/>
        <v>0</v>
      </c>
      <c r="N191" s="85"/>
    </row>
    <row r="192" spans="1:14" s="16" customFormat="1" ht="22.5" customHeight="1">
      <c r="A192" s="28"/>
      <c r="B192" s="29"/>
      <c r="C192" s="27">
        <f aca="true" t="shared" si="26" ref="C192:M192">C195+C201+C207</f>
        <v>15876</v>
      </c>
      <c r="D192" s="27">
        <f t="shared" si="26"/>
        <v>20128</v>
      </c>
      <c r="E192" s="27">
        <f t="shared" si="26"/>
        <v>162</v>
      </c>
      <c r="F192" s="27">
        <f t="shared" si="26"/>
        <v>19966</v>
      </c>
      <c r="G192" s="27">
        <f t="shared" si="26"/>
        <v>13690</v>
      </c>
      <c r="H192" s="27">
        <f t="shared" si="26"/>
        <v>0</v>
      </c>
      <c r="I192" s="27">
        <f t="shared" si="26"/>
        <v>0</v>
      </c>
      <c r="J192" s="27">
        <f t="shared" si="26"/>
        <v>4690</v>
      </c>
      <c r="K192" s="27">
        <f t="shared" si="26"/>
        <v>0</v>
      </c>
      <c r="L192" s="27">
        <f t="shared" si="26"/>
        <v>9000</v>
      </c>
      <c r="M192" s="27">
        <f t="shared" si="26"/>
        <v>0</v>
      </c>
      <c r="N192" s="85"/>
    </row>
    <row r="193" spans="1:14" s="16" customFormat="1" ht="12" customHeight="1">
      <c r="A193" s="59"/>
      <c r="B193" s="182"/>
      <c r="C193" s="77"/>
      <c r="D193" s="77"/>
      <c r="E193" s="77"/>
      <c r="F193" s="77"/>
      <c r="G193" s="75"/>
      <c r="H193" s="77"/>
      <c r="I193" s="77"/>
      <c r="J193" s="77"/>
      <c r="K193" s="77"/>
      <c r="L193" s="77"/>
      <c r="M193" s="77"/>
      <c r="N193" s="85"/>
    </row>
    <row r="194" spans="1:14" s="16" customFormat="1" ht="20.25" customHeight="1">
      <c r="A194" s="28" t="s">
        <v>170</v>
      </c>
      <c r="B194" s="61" t="s">
        <v>171</v>
      </c>
      <c r="C194" s="11">
        <f>C197</f>
        <v>4864</v>
      </c>
      <c r="D194" s="11">
        <f aca="true" t="shared" si="27" ref="D194:M194">D197</f>
        <v>10939</v>
      </c>
      <c r="E194" s="11">
        <f t="shared" si="27"/>
        <v>174</v>
      </c>
      <c r="F194" s="11">
        <f t="shared" si="27"/>
        <v>10765</v>
      </c>
      <c r="G194" s="11">
        <f t="shared" si="27"/>
        <v>6692</v>
      </c>
      <c r="H194" s="11">
        <f t="shared" si="27"/>
        <v>0</v>
      </c>
      <c r="I194" s="11">
        <f t="shared" si="27"/>
        <v>0</v>
      </c>
      <c r="J194" s="11">
        <f t="shared" si="27"/>
        <v>6692</v>
      </c>
      <c r="K194" s="11">
        <f t="shared" si="27"/>
        <v>0</v>
      </c>
      <c r="L194" s="11">
        <f t="shared" si="27"/>
        <v>0</v>
      </c>
      <c r="M194" s="11">
        <f t="shared" si="27"/>
        <v>0</v>
      </c>
      <c r="N194" s="85"/>
    </row>
    <row r="195" spans="1:14" s="16" customFormat="1" ht="20.25" customHeight="1">
      <c r="A195" s="28"/>
      <c r="B195" s="62" t="s">
        <v>172</v>
      </c>
      <c r="C195" s="11">
        <f>C198</f>
        <v>3166</v>
      </c>
      <c r="D195" s="11">
        <f aca="true" t="shared" si="28" ref="D195:M195">D198</f>
        <v>7418</v>
      </c>
      <c r="E195" s="11">
        <f t="shared" si="28"/>
        <v>162</v>
      </c>
      <c r="F195" s="11">
        <f t="shared" si="28"/>
        <v>7256</v>
      </c>
      <c r="G195" s="11">
        <f t="shared" si="28"/>
        <v>4690</v>
      </c>
      <c r="H195" s="11">
        <f t="shared" si="28"/>
        <v>0</v>
      </c>
      <c r="I195" s="11">
        <f t="shared" si="28"/>
        <v>0</v>
      </c>
      <c r="J195" s="11">
        <f t="shared" si="28"/>
        <v>4690</v>
      </c>
      <c r="K195" s="11">
        <f t="shared" si="28"/>
        <v>0</v>
      </c>
      <c r="L195" s="11">
        <f t="shared" si="28"/>
        <v>0</v>
      </c>
      <c r="M195" s="11">
        <f t="shared" si="28"/>
        <v>0</v>
      </c>
      <c r="N195" s="85"/>
    </row>
    <row r="196" spans="1:14" s="16" customFormat="1" ht="9" customHeight="1">
      <c r="A196" s="28"/>
      <c r="B196" s="57"/>
      <c r="C196" s="10"/>
      <c r="D196" s="10"/>
      <c r="E196" s="10"/>
      <c r="F196" s="10"/>
      <c r="G196" s="10"/>
      <c r="H196" s="10"/>
      <c r="I196" s="10"/>
      <c r="J196" s="10"/>
      <c r="K196" s="10"/>
      <c r="L196" s="10"/>
      <c r="M196" s="10"/>
      <c r="N196" s="85"/>
    </row>
    <row r="197" spans="1:14" s="16" customFormat="1" ht="42.75">
      <c r="A197" s="80">
        <v>1</v>
      </c>
      <c r="B197" s="309" t="s">
        <v>327</v>
      </c>
      <c r="C197" s="308">
        <v>4864</v>
      </c>
      <c r="D197" s="308">
        <v>10939</v>
      </c>
      <c r="E197" s="308">
        <v>174</v>
      </c>
      <c r="F197" s="11">
        <f>D197-E197</f>
        <v>10765</v>
      </c>
      <c r="G197" s="81">
        <f>SUM(H197:M197)</f>
        <v>6692</v>
      </c>
      <c r="H197" s="81"/>
      <c r="I197" s="81"/>
      <c r="J197" s="81">
        <v>6692</v>
      </c>
      <c r="K197" s="81"/>
      <c r="L197" s="81">
        <v>0</v>
      </c>
      <c r="M197" s="81">
        <v>0</v>
      </c>
      <c r="N197" s="33" t="s">
        <v>205</v>
      </c>
    </row>
    <row r="198" spans="1:14" s="16" customFormat="1" ht="15.75">
      <c r="A198" s="80"/>
      <c r="B198" s="241" t="s">
        <v>395</v>
      </c>
      <c r="C198" s="81">
        <v>3166</v>
      </c>
      <c r="D198" s="81">
        <v>7418</v>
      </c>
      <c r="E198" s="81">
        <v>162</v>
      </c>
      <c r="F198" s="11">
        <f>D198-E198</f>
        <v>7256</v>
      </c>
      <c r="G198" s="81">
        <f>SUM(H198:M198)</f>
        <v>4690</v>
      </c>
      <c r="H198" s="81"/>
      <c r="I198" s="81"/>
      <c r="J198" s="81">
        <v>4690</v>
      </c>
      <c r="K198" s="81"/>
      <c r="L198" s="81">
        <v>0</v>
      </c>
      <c r="M198" s="81">
        <v>0</v>
      </c>
      <c r="N198" s="33"/>
    </row>
    <row r="199" spans="1:14" s="16" customFormat="1" ht="9" customHeight="1">
      <c r="A199" s="28"/>
      <c r="B199" s="182"/>
      <c r="C199" s="77"/>
      <c r="D199" s="77"/>
      <c r="E199" s="77"/>
      <c r="F199" s="77"/>
      <c r="G199" s="75"/>
      <c r="H199" s="77"/>
      <c r="I199" s="77"/>
      <c r="J199" s="10"/>
      <c r="K199" s="10"/>
      <c r="L199" s="77"/>
      <c r="M199" s="77"/>
      <c r="N199" s="85"/>
    </row>
    <row r="200" spans="1:14" s="16" customFormat="1" ht="21" customHeight="1">
      <c r="A200" s="28" t="s">
        <v>173</v>
      </c>
      <c r="B200" s="61" t="s">
        <v>179</v>
      </c>
      <c r="C200" s="11">
        <f>C203</f>
        <v>16890</v>
      </c>
      <c r="D200" s="11">
        <f aca="true" t="shared" si="29" ref="D200:M200">D203</f>
        <v>16890</v>
      </c>
      <c r="E200" s="11">
        <f t="shared" si="29"/>
        <v>0</v>
      </c>
      <c r="F200" s="11">
        <f t="shared" si="29"/>
        <v>16890</v>
      </c>
      <c r="G200" s="11">
        <f t="shared" si="29"/>
        <v>10372</v>
      </c>
      <c r="H200" s="11">
        <f t="shared" si="29"/>
        <v>0</v>
      </c>
      <c r="I200" s="11">
        <f t="shared" si="29"/>
        <v>0</v>
      </c>
      <c r="J200" s="11">
        <f t="shared" si="29"/>
        <v>0</v>
      </c>
      <c r="K200" s="11">
        <f t="shared" si="29"/>
        <v>0</v>
      </c>
      <c r="L200" s="11">
        <f t="shared" si="29"/>
        <v>10372</v>
      </c>
      <c r="M200" s="11">
        <f t="shared" si="29"/>
        <v>0</v>
      </c>
      <c r="N200" s="85"/>
    </row>
    <row r="201" spans="1:14" s="16" customFormat="1" ht="21" customHeight="1">
      <c r="A201" s="28"/>
      <c r="B201" s="62" t="s">
        <v>174</v>
      </c>
      <c r="C201" s="11">
        <f>C204</f>
        <v>12710</v>
      </c>
      <c r="D201" s="11">
        <f aca="true" t="shared" si="30" ref="D201:M201">D204</f>
        <v>12710</v>
      </c>
      <c r="E201" s="11">
        <f t="shared" si="30"/>
        <v>0</v>
      </c>
      <c r="F201" s="11">
        <f t="shared" si="30"/>
        <v>12710</v>
      </c>
      <c r="G201" s="11">
        <f t="shared" si="30"/>
        <v>9000</v>
      </c>
      <c r="H201" s="11">
        <f t="shared" si="30"/>
        <v>0</v>
      </c>
      <c r="I201" s="11">
        <f t="shared" si="30"/>
        <v>0</v>
      </c>
      <c r="J201" s="11">
        <f t="shared" si="30"/>
        <v>0</v>
      </c>
      <c r="K201" s="11">
        <f t="shared" si="30"/>
        <v>0</v>
      </c>
      <c r="L201" s="11">
        <f t="shared" si="30"/>
        <v>9000</v>
      </c>
      <c r="M201" s="11">
        <f t="shared" si="30"/>
        <v>0</v>
      </c>
      <c r="N201" s="85"/>
    </row>
    <row r="202" spans="1:14" s="16" customFormat="1" ht="13.5" customHeight="1">
      <c r="A202" s="28"/>
      <c r="B202" s="57"/>
      <c r="C202" s="10"/>
      <c r="D202" s="10"/>
      <c r="E202" s="10"/>
      <c r="F202" s="10"/>
      <c r="G202" s="10"/>
      <c r="H202" s="10"/>
      <c r="I202" s="10"/>
      <c r="J202" s="10"/>
      <c r="K202" s="10"/>
      <c r="L202" s="10"/>
      <c r="M202" s="10"/>
      <c r="N202" s="85"/>
    </row>
    <row r="203" spans="1:14" s="16" customFormat="1" ht="57">
      <c r="A203" s="80">
        <v>1</v>
      </c>
      <c r="B203" s="309" t="s">
        <v>88</v>
      </c>
      <c r="C203" s="308">
        <v>16890</v>
      </c>
      <c r="D203" s="308">
        <f>C203</f>
        <v>16890</v>
      </c>
      <c r="E203" s="308">
        <v>0</v>
      </c>
      <c r="F203" s="11">
        <f>D203-E203</f>
        <v>16890</v>
      </c>
      <c r="G203" s="81">
        <f>SUM(H203:M203)</f>
        <v>10372</v>
      </c>
      <c r="H203" s="81"/>
      <c r="I203" s="81"/>
      <c r="J203" s="81">
        <v>0</v>
      </c>
      <c r="K203" s="81"/>
      <c r="L203" s="81">
        <v>10372</v>
      </c>
      <c r="M203" s="81">
        <v>0</v>
      </c>
      <c r="N203" s="33" t="s">
        <v>205</v>
      </c>
    </row>
    <row r="204" spans="1:14" s="16" customFormat="1" ht="26.25" customHeight="1">
      <c r="A204" s="80"/>
      <c r="B204" s="241" t="s">
        <v>89</v>
      </c>
      <c r="C204" s="81">
        <v>12710</v>
      </c>
      <c r="D204" s="81">
        <f>C204</f>
        <v>12710</v>
      </c>
      <c r="E204" s="81">
        <v>0</v>
      </c>
      <c r="F204" s="11">
        <f>D204-E204</f>
        <v>12710</v>
      </c>
      <c r="G204" s="81">
        <f>SUM(H204:M204)</f>
        <v>9000</v>
      </c>
      <c r="H204" s="81"/>
      <c r="I204" s="81"/>
      <c r="J204" s="81">
        <v>0</v>
      </c>
      <c r="K204" s="81"/>
      <c r="L204" s="81">
        <v>9000</v>
      </c>
      <c r="M204" s="81">
        <v>0</v>
      </c>
      <c r="N204" s="33"/>
    </row>
    <row r="205" spans="1:14" s="16" customFormat="1" ht="12" customHeight="1">
      <c r="A205" s="28"/>
      <c r="B205" s="57"/>
      <c r="C205" s="10"/>
      <c r="D205" s="10"/>
      <c r="E205" s="10"/>
      <c r="F205" s="10"/>
      <c r="G205" s="10"/>
      <c r="H205" s="10"/>
      <c r="I205" s="10"/>
      <c r="J205" s="10"/>
      <c r="K205" s="10"/>
      <c r="L205" s="10"/>
      <c r="M205" s="10"/>
      <c r="N205" s="33"/>
    </row>
    <row r="206" spans="1:14" s="16" customFormat="1" ht="16.5" customHeight="1">
      <c r="A206" s="28" t="s">
        <v>175</v>
      </c>
      <c r="B206" s="61" t="s">
        <v>276</v>
      </c>
      <c r="C206" s="11">
        <f>C209+C210+C211</f>
        <v>22197</v>
      </c>
      <c r="D206" s="11">
        <f aca="true" t="shared" si="31" ref="D206:M206">D209+D210+D211</f>
        <v>22197</v>
      </c>
      <c r="E206" s="11">
        <f t="shared" si="31"/>
        <v>1591</v>
      </c>
      <c r="F206" s="11">
        <f t="shared" si="31"/>
        <v>20606</v>
      </c>
      <c r="G206" s="11">
        <f t="shared" si="31"/>
        <v>6069</v>
      </c>
      <c r="H206" s="11">
        <f t="shared" si="31"/>
        <v>0</v>
      </c>
      <c r="I206" s="11">
        <f t="shared" si="31"/>
        <v>0</v>
      </c>
      <c r="J206" s="11">
        <f t="shared" si="31"/>
        <v>0</v>
      </c>
      <c r="K206" s="11">
        <f t="shared" si="31"/>
        <v>0</v>
      </c>
      <c r="L206" s="11">
        <f t="shared" si="31"/>
        <v>6069</v>
      </c>
      <c r="M206" s="11">
        <f t="shared" si="31"/>
        <v>0</v>
      </c>
      <c r="N206" s="33"/>
    </row>
    <row r="207" spans="1:14" s="16" customFormat="1" ht="16.5" customHeight="1">
      <c r="A207" s="28"/>
      <c r="B207" s="62" t="s">
        <v>181</v>
      </c>
      <c r="C207" s="11"/>
      <c r="D207" s="11"/>
      <c r="E207" s="11"/>
      <c r="F207" s="11"/>
      <c r="G207" s="11"/>
      <c r="H207" s="11"/>
      <c r="I207" s="11"/>
      <c r="J207" s="11"/>
      <c r="K207" s="11"/>
      <c r="L207" s="11"/>
      <c r="M207" s="11"/>
      <c r="N207" s="33"/>
    </row>
    <row r="208" spans="1:14" s="16" customFormat="1" ht="17.25" customHeight="1">
      <c r="A208" s="59"/>
      <c r="B208" s="26" t="s">
        <v>178</v>
      </c>
      <c r="C208" s="77"/>
      <c r="D208" s="77"/>
      <c r="E208" s="77"/>
      <c r="F208" s="77"/>
      <c r="G208" s="77"/>
      <c r="H208" s="77"/>
      <c r="I208" s="77"/>
      <c r="J208" s="10"/>
      <c r="K208" s="10"/>
      <c r="L208" s="77"/>
      <c r="M208" s="77"/>
      <c r="N208" s="33"/>
    </row>
    <row r="209" spans="1:14" s="16" customFormat="1" ht="16.5" customHeight="1">
      <c r="A209" s="72"/>
      <c r="B209" s="34" t="s">
        <v>152</v>
      </c>
      <c r="C209" s="77">
        <f>'Studii si proiecte 2022'!D112</f>
        <v>21697</v>
      </c>
      <c r="D209" s="77">
        <f>'Studii si proiecte 2022'!E112</f>
        <v>21697</v>
      </c>
      <c r="E209" s="77">
        <f>'Studii si proiecte 2022'!F112</f>
        <v>1591</v>
      </c>
      <c r="F209" s="77">
        <f>'Studii si proiecte 2022'!G112</f>
        <v>20106</v>
      </c>
      <c r="G209" s="77">
        <f>'Studii si proiecte 2022'!H112</f>
        <v>5569</v>
      </c>
      <c r="H209" s="77">
        <f>'Studii si proiecte 2022'!I112</f>
        <v>0</v>
      </c>
      <c r="I209" s="77">
        <f>'Studii si proiecte 2022'!J112</f>
        <v>0</v>
      </c>
      <c r="J209" s="77">
        <f>'Studii si proiecte 2022'!K112</f>
        <v>0</v>
      </c>
      <c r="K209" s="77">
        <f>'Studii si proiecte 2022'!L112</f>
        <v>0</v>
      </c>
      <c r="L209" s="77">
        <f>'Studii si proiecte 2022'!M112</f>
        <v>5569</v>
      </c>
      <c r="M209" s="77">
        <f>'Studii si proiecte 2022'!N112</f>
        <v>0</v>
      </c>
      <c r="N209" s="33"/>
    </row>
    <row r="210" spans="1:14" s="16" customFormat="1" ht="16.5" customHeight="1">
      <c r="A210" s="72"/>
      <c r="B210" s="34" t="s">
        <v>197</v>
      </c>
      <c r="C210" s="77">
        <f>'Dotari 2022'!D67</f>
        <v>500</v>
      </c>
      <c r="D210" s="77">
        <f>'Dotari 2022'!E67</f>
        <v>500</v>
      </c>
      <c r="E210" s="77">
        <f>'Dotari 2022'!F67</f>
        <v>0</v>
      </c>
      <c r="F210" s="77">
        <f>'Dotari 2022'!G67</f>
        <v>500</v>
      </c>
      <c r="G210" s="77">
        <f>'Dotari 2022'!H67</f>
        <v>500</v>
      </c>
      <c r="H210" s="77">
        <f>'Dotari 2022'!I67</f>
        <v>0</v>
      </c>
      <c r="I210" s="77">
        <f>'Dotari 2022'!J67</f>
        <v>0</v>
      </c>
      <c r="J210" s="77">
        <f>'Dotari 2022'!K67</f>
        <v>0</v>
      </c>
      <c r="K210" s="77">
        <f>'Dotari 2022'!L67</f>
        <v>0</v>
      </c>
      <c r="L210" s="77">
        <f>'Dotari 2022'!M67</f>
        <v>500</v>
      </c>
      <c r="M210" s="77">
        <f>'Dotari 2022'!N67</f>
        <v>0</v>
      </c>
      <c r="N210" s="33"/>
    </row>
    <row r="211" spans="1:14" s="16" customFormat="1" ht="16.5" customHeight="1">
      <c r="A211" s="72"/>
      <c r="B211" s="34" t="s">
        <v>269</v>
      </c>
      <c r="C211" s="77">
        <f>'Alte chelt 2022'!D42</f>
        <v>0</v>
      </c>
      <c r="D211" s="77">
        <f>'Alte chelt 2022'!E42</f>
        <v>0</v>
      </c>
      <c r="E211" s="77">
        <f>'Alte chelt 2022'!F42</f>
        <v>0</v>
      </c>
      <c r="F211" s="77">
        <f>'Alte chelt 2022'!G42</f>
        <v>0</v>
      </c>
      <c r="G211" s="77">
        <f>'Alte chelt 2022'!H42</f>
        <v>0</v>
      </c>
      <c r="H211" s="77">
        <f>'Alte chelt 2022'!I42</f>
        <v>0</v>
      </c>
      <c r="I211" s="77">
        <f>'Alte chelt 2022'!J42</f>
        <v>0</v>
      </c>
      <c r="J211" s="77">
        <f>'Alte chelt 2022'!K42</f>
        <v>0</v>
      </c>
      <c r="K211" s="77">
        <f>'Alte chelt 2022'!L42</f>
        <v>0</v>
      </c>
      <c r="L211" s="77">
        <f>'Alte chelt 2022'!M42</f>
        <v>0</v>
      </c>
      <c r="M211" s="77">
        <f>'Alte chelt 2022'!N42</f>
        <v>0</v>
      </c>
      <c r="N211" s="33"/>
    </row>
    <row r="212" spans="1:14" s="16" customFormat="1" ht="16.5" customHeight="1">
      <c r="A212" s="72"/>
      <c r="B212" s="34"/>
      <c r="C212" s="77"/>
      <c r="D212" s="77"/>
      <c r="E212" s="77"/>
      <c r="F212" s="77"/>
      <c r="G212" s="77"/>
      <c r="H212" s="77"/>
      <c r="I212" s="77"/>
      <c r="J212" s="77"/>
      <c r="K212" s="77"/>
      <c r="L212" s="77"/>
      <c r="M212" s="77"/>
      <c r="N212" s="33"/>
    </row>
    <row r="213" spans="1:14" s="20" customFormat="1" ht="37.5" customHeight="1">
      <c r="A213" s="21"/>
      <c r="B213" s="213" t="s">
        <v>246</v>
      </c>
      <c r="C213" s="23" t="s">
        <v>247</v>
      </c>
      <c r="D213" s="24"/>
      <c r="E213" s="24"/>
      <c r="F213" s="24"/>
      <c r="G213" s="10"/>
      <c r="H213" s="10"/>
      <c r="I213" s="10"/>
      <c r="J213" s="10"/>
      <c r="K213" s="10"/>
      <c r="L213" s="10"/>
      <c r="M213" s="10" t="s">
        <v>185</v>
      </c>
      <c r="N213" s="37"/>
    </row>
    <row r="214" spans="1:14" s="70" customFormat="1" ht="23.25" customHeight="1">
      <c r="A214" s="25"/>
      <c r="B214" s="26" t="s">
        <v>178</v>
      </c>
      <c r="C214" s="27">
        <f aca="true" t="shared" si="32" ref="C214:M214">C217+C220+C225</f>
        <v>907</v>
      </c>
      <c r="D214" s="27">
        <f t="shared" si="32"/>
        <v>907</v>
      </c>
      <c r="E214" s="27">
        <f t="shared" si="32"/>
        <v>0</v>
      </c>
      <c r="F214" s="27">
        <f t="shared" si="32"/>
        <v>907</v>
      </c>
      <c r="G214" s="27">
        <f t="shared" si="32"/>
        <v>907</v>
      </c>
      <c r="H214" s="27">
        <f t="shared" si="32"/>
        <v>0</v>
      </c>
      <c r="I214" s="27">
        <f t="shared" si="32"/>
        <v>0</v>
      </c>
      <c r="J214" s="27">
        <f t="shared" si="32"/>
        <v>105</v>
      </c>
      <c r="K214" s="27">
        <f t="shared" si="32"/>
        <v>0</v>
      </c>
      <c r="L214" s="27">
        <f t="shared" si="32"/>
        <v>802</v>
      </c>
      <c r="M214" s="27">
        <f t="shared" si="32"/>
        <v>0</v>
      </c>
      <c r="N214" s="33"/>
    </row>
    <row r="215" spans="1:14" s="70" customFormat="1" ht="23.25" customHeight="1">
      <c r="A215" s="28"/>
      <c r="B215" s="29"/>
      <c r="C215" s="27">
        <f aca="true" t="shared" si="33" ref="C215:M215">C218+C221+C226</f>
        <v>0</v>
      </c>
      <c r="D215" s="27">
        <f t="shared" si="33"/>
        <v>0</v>
      </c>
      <c r="E215" s="27">
        <f t="shared" si="33"/>
        <v>0</v>
      </c>
      <c r="F215" s="27">
        <f t="shared" si="33"/>
        <v>0</v>
      </c>
      <c r="G215" s="27">
        <f t="shared" si="33"/>
        <v>0</v>
      </c>
      <c r="H215" s="27">
        <f t="shared" si="33"/>
        <v>0</v>
      </c>
      <c r="I215" s="27">
        <f t="shared" si="33"/>
        <v>0</v>
      </c>
      <c r="J215" s="27">
        <f t="shared" si="33"/>
        <v>0</v>
      </c>
      <c r="K215" s="27">
        <f t="shared" si="33"/>
        <v>0</v>
      </c>
      <c r="L215" s="27">
        <f t="shared" si="33"/>
        <v>0</v>
      </c>
      <c r="M215" s="27">
        <f t="shared" si="33"/>
        <v>0</v>
      </c>
      <c r="N215" s="33"/>
    </row>
    <row r="216" spans="1:14" s="70" customFormat="1" ht="20.25" customHeight="1">
      <c r="A216" s="59"/>
      <c r="B216" s="182"/>
      <c r="C216" s="77"/>
      <c r="D216" s="77"/>
      <c r="E216" s="77"/>
      <c r="F216" s="77"/>
      <c r="G216" s="75"/>
      <c r="H216" s="77"/>
      <c r="I216" s="77"/>
      <c r="J216" s="77"/>
      <c r="K216" s="77"/>
      <c r="L216" s="77"/>
      <c r="M216" s="77"/>
      <c r="N216" s="33"/>
    </row>
    <row r="217" spans="1:14" s="20" customFormat="1" ht="23.25" customHeight="1">
      <c r="A217" s="28" t="s">
        <v>170</v>
      </c>
      <c r="B217" s="61" t="s">
        <v>171</v>
      </c>
      <c r="C217" s="11">
        <v>0</v>
      </c>
      <c r="D217" s="11">
        <v>0</v>
      </c>
      <c r="E217" s="11">
        <v>0</v>
      </c>
      <c r="F217" s="11">
        <v>0</v>
      </c>
      <c r="G217" s="11">
        <v>0</v>
      </c>
      <c r="H217" s="11">
        <v>0</v>
      </c>
      <c r="I217" s="11">
        <v>0</v>
      </c>
      <c r="J217" s="11">
        <v>0</v>
      </c>
      <c r="K217" s="11">
        <v>0</v>
      </c>
      <c r="L217" s="11">
        <v>0</v>
      </c>
      <c r="M217" s="11">
        <v>0</v>
      </c>
      <c r="N217" s="37"/>
    </row>
    <row r="218" spans="1:14" s="20" customFormat="1" ht="23.25" customHeight="1">
      <c r="A218" s="28"/>
      <c r="B218" s="62" t="s">
        <v>172</v>
      </c>
      <c r="C218" s="11">
        <v>0</v>
      </c>
      <c r="D218" s="11">
        <v>0</v>
      </c>
      <c r="E218" s="11">
        <v>0</v>
      </c>
      <c r="F218" s="11">
        <v>0</v>
      </c>
      <c r="G218" s="11">
        <v>0</v>
      </c>
      <c r="H218" s="11">
        <v>0</v>
      </c>
      <c r="I218" s="11">
        <v>0</v>
      </c>
      <c r="J218" s="11">
        <v>0</v>
      </c>
      <c r="K218" s="11">
        <v>0</v>
      </c>
      <c r="L218" s="11">
        <v>0</v>
      </c>
      <c r="M218" s="11">
        <v>0</v>
      </c>
      <c r="N218" s="37"/>
    </row>
    <row r="219" spans="1:14" s="20" customFormat="1" ht="15.75">
      <c r="A219" s="28"/>
      <c r="B219" s="57"/>
      <c r="C219" s="10"/>
      <c r="D219" s="10"/>
      <c r="E219" s="10"/>
      <c r="F219" s="10"/>
      <c r="G219" s="10"/>
      <c r="H219" s="10"/>
      <c r="I219" s="10"/>
      <c r="J219" s="10"/>
      <c r="K219" s="10"/>
      <c r="L219" s="10"/>
      <c r="M219" s="10"/>
      <c r="N219" s="37"/>
    </row>
    <row r="220" spans="1:14" s="70" customFormat="1" ht="22.5" customHeight="1">
      <c r="A220" s="28" t="s">
        <v>173</v>
      </c>
      <c r="B220" s="61" t="s">
        <v>179</v>
      </c>
      <c r="C220" s="11">
        <v>0</v>
      </c>
      <c r="D220" s="11">
        <v>0</v>
      </c>
      <c r="E220" s="11">
        <v>0</v>
      </c>
      <c r="F220" s="11">
        <v>0</v>
      </c>
      <c r="G220" s="11">
        <v>0</v>
      </c>
      <c r="H220" s="11">
        <v>0</v>
      </c>
      <c r="I220" s="11">
        <v>0</v>
      </c>
      <c r="J220" s="11">
        <v>0</v>
      </c>
      <c r="K220" s="11">
        <v>0</v>
      </c>
      <c r="L220" s="11">
        <v>0</v>
      </c>
      <c r="M220" s="11">
        <v>0</v>
      </c>
      <c r="N220" s="33"/>
    </row>
    <row r="221" spans="1:14" s="70" customFormat="1" ht="22.5" customHeight="1">
      <c r="A221" s="28"/>
      <c r="B221" s="62" t="s">
        <v>174</v>
      </c>
      <c r="C221" s="11">
        <v>0</v>
      </c>
      <c r="D221" s="11">
        <v>0</v>
      </c>
      <c r="E221" s="11">
        <v>0</v>
      </c>
      <c r="F221" s="11">
        <v>0</v>
      </c>
      <c r="G221" s="11">
        <v>0</v>
      </c>
      <c r="H221" s="11">
        <v>0</v>
      </c>
      <c r="I221" s="11">
        <v>0</v>
      </c>
      <c r="J221" s="11">
        <v>0</v>
      </c>
      <c r="K221" s="11">
        <v>0</v>
      </c>
      <c r="L221" s="11">
        <v>0</v>
      </c>
      <c r="M221" s="11">
        <v>0</v>
      </c>
      <c r="N221" s="33"/>
    </row>
    <row r="222" spans="1:14" s="70" customFormat="1" ht="36.75" customHeight="1">
      <c r="A222" s="28"/>
      <c r="B222" s="26" t="s">
        <v>178</v>
      </c>
      <c r="C222" s="10"/>
      <c r="D222" s="10"/>
      <c r="E222" s="10"/>
      <c r="F222" s="10"/>
      <c r="G222" s="10"/>
      <c r="H222" s="10"/>
      <c r="I222" s="10"/>
      <c r="J222" s="10"/>
      <c r="K222" s="10"/>
      <c r="L222" s="10"/>
      <c r="M222" s="10"/>
      <c r="N222" s="33"/>
    </row>
    <row r="223" s="16" customFormat="1" ht="3" customHeight="1"/>
    <row r="224" spans="1:14" s="16" customFormat="1" ht="5.25" customHeight="1">
      <c r="A224" s="28"/>
      <c r="B224" s="57"/>
      <c r="C224" s="10"/>
      <c r="D224" s="10"/>
      <c r="E224" s="10"/>
      <c r="F224" s="10"/>
      <c r="G224" s="10"/>
      <c r="H224" s="10"/>
      <c r="I224" s="10"/>
      <c r="J224" s="10"/>
      <c r="K224" s="10"/>
      <c r="L224" s="10"/>
      <c r="M224" s="10"/>
      <c r="N224" s="85"/>
    </row>
    <row r="225" spans="1:14" s="16" customFormat="1" ht="22.5" customHeight="1">
      <c r="A225" s="28" t="s">
        <v>175</v>
      </c>
      <c r="B225" s="61" t="s">
        <v>276</v>
      </c>
      <c r="C225" s="11">
        <f>C228+C229+C230</f>
        <v>907</v>
      </c>
      <c r="D225" s="11">
        <f aca="true" t="shared" si="34" ref="D225:M225">D228+D229+D230</f>
        <v>907</v>
      </c>
      <c r="E225" s="11">
        <f t="shared" si="34"/>
        <v>0</v>
      </c>
      <c r="F225" s="11">
        <f t="shared" si="34"/>
        <v>907</v>
      </c>
      <c r="G225" s="11">
        <f t="shared" si="34"/>
        <v>907</v>
      </c>
      <c r="H225" s="11">
        <f t="shared" si="34"/>
        <v>0</v>
      </c>
      <c r="I225" s="11">
        <f t="shared" si="34"/>
        <v>0</v>
      </c>
      <c r="J225" s="11">
        <f t="shared" si="34"/>
        <v>105</v>
      </c>
      <c r="K225" s="11">
        <f t="shared" si="34"/>
        <v>0</v>
      </c>
      <c r="L225" s="11">
        <f t="shared" si="34"/>
        <v>802</v>
      </c>
      <c r="M225" s="11">
        <f t="shared" si="34"/>
        <v>0</v>
      </c>
      <c r="N225" s="85"/>
    </row>
    <row r="226" spans="1:14" s="16" customFormat="1" ht="22.5" customHeight="1">
      <c r="A226" s="28"/>
      <c r="B226" s="62" t="s">
        <v>181</v>
      </c>
      <c r="C226" s="10"/>
      <c r="D226" s="10"/>
      <c r="E226" s="10"/>
      <c r="F226" s="10"/>
      <c r="G226" s="10"/>
      <c r="H226" s="10"/>
      <c r="I226" s="10"/>
      <c r="J226" s="10"/>
      <c r="K226" s="10"/>
      <c r="L226" s="10"/>
      <c r="M226" s="10"/>
      <c r="N226" s="85"/>
    </row>
    <row r="227" spans="1:14" s="16" customFormat="1" ht="32.25" customHeight="1">
      <c r="A227" s="59"/>
      <c r="B227" s="26" t="s">
        <v>178</v>
      </c>
      <c r="C227" s="77"/>
      <c r="D227" s="77"/>
      <c r="E227" s="77"/>
      <c r="F227" s="77"/>
      <c r="G227" s="77"/>
      <c r="H227" s="77"/>
      <c r="I227" s="77"/>
      <c r="J227" s="10"/>
      <c r="K227" s="10"/>
      <c r="L227" s="77"/>
      <c r="M227" s="77"/>
      <c r="N227" s="85"/>
    </row>
    <row r="228" spans="1:14" s="16" customFormat="1" ht="23.25" customHeight="1">
      <c r="A228" s="72"/>
      <c r="B228" s="34" t="s">
        <v>152</v>
      </c>
      <c r="C228" s="77">
        <f>'Studii si proiecte 2022'!D119</f>
        <v>100</v>
      </c>
      <c r="D228" s="77">
        <f>'Studii si proiecte 2022'!E119</f>
        <v>100</v>
      </c>
      <c r="E228" s="77">
        <f>'Studii si proiecte 2022'!F119</f>
        <v>0</v>
      </c>
      <c r="F228" s="77">
        <f>'Studii si proiecte 2022'!G119</f>
        <v>100</v>
      </c>
      <c r="G228" s="77">
        <f>'Studii si proiecte 2022'!H119</f>
        <v>100</v>
      </c>
      <c r="H228" s="77">
        <f>'Studii si proiecte 2022'!I119</f>
        <v>0</v>
      </c>
      <c r="I228" s="77">
        <f>'Studii si proiecte 2022'!J119</f>
        <v>0</v>
      </c>
      <c r="J228" s="77">
        <f>'Studii si proiecte 2022'!K119</f>
        <v>0</v>
      </c>
      <c r="K228" s="77">
        <f>'Studii si proiecte 2022'!L119</f>
        <v>0</v>
      </c>
      <c r="L228" s="77">
        <f>'Studii si proiecte 2022'!M119</f>
        <v>100</v>
      </c>
      <c r="M228" s="77">
        <f>'Studii si proiecte 2022'!N119</f>
        <v>0</v>
      </c>
      <c r="N228" s="85"/>
    </row>
    <row r="229" spans="1:14" s="16" customFormat="1" ht="23.25" customHeight="1">
      <c r="A229" s="73"/>
      <c r="B229" s="194" t="s">
        <v>267</v>
      </c>
      <c r="C229" s="74">
        <f>'Dotari 2022'!D84</f>
        <v>466</v>
      </c>
      <c r="D229" s="74">
        <f>'Dotari 2022'!E84</f>
        <v>466</v>
      </c>
      <c r="E229" s="74">
        <f>'Dotari 2022'!F84</f>
        <v>0</v>
      </c>
      <c r="F229" s="74">
        <f>'Dotari 2022'!G84</f>
        <v>466</v>
      </c>
      <c r="G229" s="74">
        <f>'Dotari 2022'!H84</f>
        <v>466</v>
      </c>
      <c r="H229" s="74">
        <f>'Dotari 2022'!I84</f>
        <v>0</v>
      </c>
      <c r="I229" s="74">
        <f>'Dotari 2022'!J84</f>
        <v>0</v>
      </c>
      <c r="J229" s="74">
        <f>'Dotari 2022'!K84</f>
        <v>105</v>
      </c>
      <c r="K229" s="74">
        <f>'Dotari 2022'!L84</f>
        <v>0</v>
      </c>
      <c r="L229" s="74">
        <f>'Dotari 2022'!M84</f>
        <v>361</v>
      </c>
      <c r="M229" s="74">
        <f>'Dotari 2022'!N84</f>
        <v>0</v>
      </c>
      <c r="N229" s="85"/>
    </row>
    <row r="230" spans="1:14" s="16" customFormat="1" ht="23.25" customHeight="1">
      <c r="A230" s="73"/>
      <c r="B230" s="194" t="s">
        <v>269</v>
      </c>
      <c r="C230" s="74">
        <f>'Alte chelt 2022'!D52</f>
        <v>341</v>
      </c>
      <c r="D230" s="74">
        <f>'Alte chelt 2022'!E52</f>
        <v>341</v>
      </c>
      <c r="E230" s="74">
        <f>'Alte chelt 2022'!F52</f>
        <v>0</v>
      </c>
      <c r="F230" s="74">
        <f>'Alte chelt 2022'!G52</f>
        <v>341</v>
      </c>
      <c r="G230" s="74">
        <f>'Alte chelt 2022'!H52</f>
        <v>341</v>
      </c>
      <c r="H230" s="74">
        <f>'Alte chelt 2022'!I52</f>
        <v>0</v>
      </c>
      <c r="I230" s="74">
        <f>'Alte chelt 2022'!J52</f>
        <v>0</v>
      </c>
      <c r="J230" s="74">
        <f>'Alte chelt 2022'!K52</f>
        <v>0</v>
      </c>
      <c r="K230" s="74">
        <f>'Alte chelt 2022'!L52</f>
        <v>0</v>
      </c>
      <c r="L230" s="74">
        <f>'Alte chelt 2022'!M52</f>
        <v>341</v>
      </c>
      <c r="M230" s="74">
        <f>'Alte chelt 2022'!N52</f>
        <v>0</v>
      </c>
      <c r="N230" s="85"/>
    </row>
    <row r="231" spans="1:14" s="16" customFormat="1" ht="15.75" customHeight="1">
      <c r="A231" s="73"/>
      <c r="B231" s="194"/>
      <c r="C231" s="74"/>
      <c r="D231" s="74"/>
      <c r="E231" s="74"/>
      <c r="F231" s="74"/>
      <c r="G231" s="74"/>
      <c r="H231" s="74"/>
      <c r="I231" s="74"/>
      <c r="J231" s="74"/>
      <c r="K231" s="74"/>
      <c r="L231" s="74"/>
      <c r="M231" s="74"/>
      <c r="N231" s="85"/>
    </row>
    <row r="232" spans="1:14" s="16" customFormat="1" ht="15.75" customHeight="1">
      <c r="A232" s="73"/>
      <c r="B232" s="194"/>
      <c r="C232" s="74"/>
      <c r="D232" s="74"/>
      <c r="E232" s="74"/>
      <c r="F232" s="74"/>
      <c r="G232" s="74"/>
      <c r="H232" s="74"/>
      <c r="I232" s="74"/>
      <c r="J232" s="74"/>
      <c r="K232" s="74"/>
      <c r="L232" s="74"/>
      <c r="M232" s="74"/>
      <c r="N232" s="85"/>
    </row>
    <row r="233" spans="1:14" s="16" customFormat="1" ht="15.75" customHeight="1">
      <c r="A233" s="73"/>
      <c r="B233" s="194"/>
      <c r="C233" s="74"/>
      <c r="D233" s="74"/>
      <c r="E233" s="74"/>
      <c r="F233" s="74"/>
      <c r="G233" s="74"/>
      <c r="H233" s="74"/>
      <c r="I233" s="74"/>
      <c r="J233" s="74"/>
      <c r="K233" s="74"/>
      <c r="L233" s="74"/>
      <c r="M233" s="74"/>
      <c r="N233" s="85"/>
    </row>
    <row r="234" spans="1:14" s="16" customFormat="1" ht="15.75" customHeight="1">
      <c r="A234" s="73"/>
      <c r="B234" s="194"/>
      <c r="C234" s="74"/>
      <c r="D234" s="74"/>
      <c r="E234" s="74"/>
      <c r="F234" s="74"/>
      <c r="G234" s="74"/>
      <c r="H234" s="74"/>
      <c r="I234" s="74"/>
      <c r="J234" s="74"/>
      <c r="K234" s="74"/>
      <c r="L234" s="74"/>
      <c r="M234" s="74"/>
      <c r="N234" s="85"/>
    </row>
    <row r="235" spans="1:14" s="16" customFormat="1" ht="38.25" customHeight="1">
      <c r="A235" s="59"/>
      <c r="B235" s="213" t="s">
        <v>198</v>
      </c>
      <c r="C235" s="90" t="s">
        <v>199</v>
      </c>
      <c r="D235" s="77"/>
      <c r="E235" s="77"/>
      <c r="F235" s="77"/>
      <c r="G235" s="77"/>
      <c r="H235" s="77"/>
      <c r="I235" s="77"/>
      <c r="J235" s="10"/>
      <c r="K235" s="10"/>
      <c r="L235" s="10"/>
      <c r="M235" s="10" t="s">
        <v>185</v>
      </c>
      <c r="N235" s="85"/>
    </row>
    <row r="236" spans="1:14" s="16" customFormat="1" ht="27.75" customHeight="1">
      <c r="A236" s="25"/>
      <c r="B236" s="26" t="s">
        <v>178</v>
      </c>
      <c r="C236" s="27">
        <f aca="true" t="shared" si="35" ref="C236:M236">C239+C247+C272</f>
        <v>224049</v>
      </c>
      <c r="D236" s="27">
        <f t="shared" si="35"/>
        <v>221255</v>
      </c>
      <c r="E236" s="27">
        <f t="shared" si="35"/>
        <v>99169</v>
      </c>
      <c r="F236" s="27">
        <f t="shared" si="35"/>
        <v>122086</v>
      </c>
      <c r="G236" s="27">
        <f t="shared" si="35"/>
        <v>65972</v>
      </c>
      <c r="H236" s="27">
        <f t="shared" si="35"/>
        <v>0</v>
      </c>
      <c r="I236" s="27">
        <f t="shared" si="35"/>
        <v>0</v>
      </c>
      <c r="J236" s="27">
        <f t="shared" si="35"/>
        <v>0</v>
      </c>
      <c r="K236" s="27">
        <f t="shared" si="35"/>
        <v>20586</v>
      </c>
      <c r="L236" s="27">
        <f t="shared" si="35"/>
        <v>45386</v>
      </c>
      <c r="M236" s="27">
        <f t="shared" si="35"/>
        <v>0</v>
      </c>
      <c r="N236" s="85"/>
    </row>
    <row r="237" spans="1:14" s="16" customFormat="1" ht="24.75" customHeight="1">
      <c r="A237" s="91"/>
      <c r="B237" s="26"/>
      <c r="C237" s="27">
        <f aca="true" t="shared" si="36" ref="C237:M237">C240+C248+C273</f>
        <v>29677</v>
      </c>
      <c r="D237" s="27">
        <f t="shared" si="36"/>
        <v>25771</v>
      </c>
      <c r="E237" s="27">
        <f t="shared" si="36"/>
        <v>8029</v>
      </c>
      <c r="F237" s="27">
        <f t="shared" si="36"/>
        <v>17742</v>
      </c>
      <c r="G237" s="27">
        <f t="shared" si="36"/>
        <v>6291</v>
      </c>
      <c r="H237" s="27">
        <f t="shared" si="36"/>
        <v>0</v>
      </c>
      <c r="I237" s="27">
        <f t="shared" si="36"/>
        <v>0</v>
      </c>
      <c r="J237" s="27">
        <f t="shared" si="36"/>
        <v>0</v>
      </c>
      <c r="K237" s="27">
        <f t="shared" si="36"/>
        <v>0</v>
      </c>
      <c r="L237" s="27">
        <f t="shared" si="36"/>
        <v>6291</v>
      </c>
      <c r="M237" s="27">
        <f t="shared" si="36"/>
        <v>0</v>
      </c>
      <c r="N237" s="85"/>
    </row>
    <row r="238" spans="1:14" s="16" customFormat="1" ht="14.25" customHeight="1">
      <c r="A238" s="91"/>
      <c r="B238" s="26"/>
      <c r="C238" s="10"/>
      <c r="D238" s="10"/>
      <c r="E238" s="10"/>
      <c r="F238" s="10"/>
      <c r="G238" s="10"/>
      <c r="H238" s="10"/>
      <c r="I238" s="10"/>
      <c r="J238" s="10"/>
      <c r="K238" s="10"/>
      <c r="L238" s="10"/>
      <c r="M238" s="10"/>
      <c r="N238" s="85"/>
    </row>
    <row r="239" spans="1:14" s="16" customFormat="1" ht="22.5" customHeight="1">
      <c r="A239" s="28" t="s">
        <v>170</v>
      </c>
      <c r="B239" s="61" t="s">
        <v>179</v>
      </c>
      <c r="C239" s="11">
        <f>C243</f>
        <v>17907</v>
      </c>
      <c r="D239" s="11">
        <f aca="true" t="shared" si="37" ref="D239:M239">D243</f>
        <v>15139</v>
      </c>
      <c r="E239" s="11">
        <f t="shared" si="37"/>
        <v>8658</v>
      </c>
      <c r="F239" s="11">
        <f t="shared" si="37"/>
        <v>6481</v>
      </c>
      <c r="G239" s="11">
        <f t="shared" si="37"/>
        <v>1000</v>
      </c>
      <c r="H239" s="11">
        <f t="shared" si="37"/>
        <v>0</v>
      </c>
      <c r="I239" s="11">
        <f t="shared" si="37"/>
        <v>0</v>
      </c>
      <c r="J239" s="11">
        <f t="shared" si="37"/>
        <v>0</v>
      </c>
      <c r="K239" s="11">
        <f t="shared" si="37"/>
        <v>0</v>
      </c>
      <c r="L239" s="11">
        <f t="shared" si="37"/>
        <v>1000</v>
      </c>
      <c r="M239" s="11">
        <f t="shared" si="37"/>
        <v>0</v>
      </c>
      <c r="N239" s="85"/>
    </row>
    <row r="240" spans="1:14" s="16" customFormat="1" ht="22.5" customHeight="1">
      <c r="A240" s="28"/>
      <c r="B240" s="62" t="s">
        <v>172</v>
      </c>
      <c r="C240" s="11">
        <f>C244</f>
        <v>15978</v>
      </c>
      <c r="D240" s="11">
        <f aca="true" t="shared" si="38" ref="D240:M240">D244</f>
        <v>12057</v>
      </c>
      <c r="E240" s="11">
        <f t="shared" si="38"/>
        <v>8029</v>
      </c>
      <c r="F240" s="11">
        <f t="shared" si="38"/>
        <v>4028</v>
      </c>
      <c r="G240" s="11">
        <f t="shared" si="38"/>
        <v>950</v>
      </c>
      <c r="H240" s="11">
        <f t="shared" si="38"/>
        <v>0</v>
      </c>
      <c r="I240" s="11">
        <f t="shared" si="38"/>
        <v>0</v>
      </c>
      <c r="J240" s="11">
        <f t="shared" si="38"/>
        <v>0</v>
      </c>
      <c r="K240" s="11">
        <f t="shared" si="38"/>
        <v>0</v>
      </c>
      <c r="L240" s="11">
        <f t="shared" si="38"/>
        <v>950</v>
      </c>
      <c r="M240" s="11">
        <f t="shared" si="38"/>
        <v>0</v>
      </c>
      <c r="N240" s="85"/>
    </row>
    <row r="241" spans="1:14" s="16" customFormat="1" ht="18" customHeight="1">
      <c r="A241" s="21"/>
      <c r="B241" s="57" t="s">
        <v>182</v>
      </c>
      <c r="C241" s="77"/>
      <c r="D241" s="90"/>
      <c r="E241" s="77"/>
      <c r="F241" s="77"/>
      <c r="G241" s="77"/>
      <c r="H241" s="77"/>
      <c r="I241" s="77"/>
      <c r="J241" s="77"/>
      <c r="K241" s="77"/>
      <c r="L241" s="77"/>
      <c r="M241" s="77"/>
      <c r="N241" s="85"/>
    </row>
    <row r="242" spans="1:14" s="16" customFormat="1" ht="18" customHeight="1">
      <c r="A242" s="83"/>
      <c r="B242" s="92"/>
      <c r="C242" s="10"/>
      <c r="D242" s="10"/>
      <c r="E242" s="10"/>
      <c r="F242" s="10"/>
      <c r="G242" s="82"/>
      <c r="H242" s="10"/>
      <c r="I242" s="10"/>
      <c r="J242" s="10"/>
      <c r="K242" s="10"/>
      <c r="L242" s="10"/>
      <c r="M242" s="60"/>
      <c r="N242" s="85"/>
    </row>
    <row r="243" spans="1:14" s="19" customFormat="1" ht="51.75" customHeight="1">
      <c r="A243" s="83">
        <v>1</v>
      </c>
      <c r="B243" s="309" t="s">
        <v>452</v>
      </c>
      <c r="C243" s="11">
        <v>17907</v>
      </c>
      <c r="D243" s="11">
        <v>15139</v>
      </c>
      <c r="E243" s="11">
        <f>235+237+4220+3447+519</f>
        <v>8658</v>
      </c>
      <c r="F243" s="11">
        <f>D243-E243</f>
        <v>6481</v>
      </c>
      <c r="G243" s="81">
        <f>SUM(H243:M243)</f>
        <v>1000</v>
      </c>
      <c r="H243" s="11"/>
      <c r="I243" s="11"/>
      <c r="J243" s="11"/>
      <c r="K243" s="11"/>
      <c r="L243" s="11">
        <v>1000</v>
      </c>
      <c r="M243" s="71"/>
      <c r="N243" s="33" t="s">
        <v>209</v>
      </c>
    </row>
    <row r="244" spans="1:14" s="20" customFormat="1" ht="27.75" customHeight="1">
      <c r="A244" s="83"/>
      <c r="B244" s="242" t="s">
        <v>294</v>
      </c>
      <c r="C244" s="11">
        <v>15978</v>
      </c>
      <c r="D244" s="11">
        <v>12057</v>
      </c>
      <c r="E244" s="11">
        <f>220+4220+3389+200</f>
        <v>8029</v>
      </c>
      <c r="F244" s="11">
        <f>D244-E244</f>
        <v>4028</v>
      </c>
      <c r="G244" s="81">
        <f>SUM(H244:M244)</f>
        <v>950</v>
      </c>
      <c r="H244" s="11"/>
      <c r="I244" s="11"/>
      <c r="J244" s="11"/>
      <c r="K244" s="11"/>
      <c r="L244" s="310">
        <v>950</v>
      </c>
      <c r="M244" s="71"/>
      <c r="N244" s="37"/>
    </row>
    <row r="245" spans="1:14" s="20" customFormat="1" ht="15.75" customHeight="1">
      <c r="A245" s="83"/>
      <c r="B245" s="197"/>
      <c r="C245" s="10"/>
      <c r="D245" s="10"/>
      <c r="E245" s="10"/>
      <c r="F245" s="245"/>
      <c r="G245" s="246"/>
      <c r="H245" s="10"/>
      <c r="I245" s="10"/>
      <c r="J245" s="10"/>
      <c r="K245" s="10"/>
      <c r="L245" s="70"/>
      <c r="M245" s="60"/>
      <c r="N245" s="37"/>
    </row>
    <row r="246" spans="1:14" s="70" customFormat="1" ht="15.75" customHeight="1">
      <c r="A246" s="83"/>
      <c r="B246" s="94"/>
      <c r="C246" s="10"/>
      <c r="D246" s="10"/>
      <c r="E246" s="10"/>
      <c r="F246" s="10"/>
      <c r="G246" s="82"/>
      <c r="H246" s="10"/>
      <c r="I246" s="10"/>
      <c r="J246" s="10"/>
      <c r="K246" s="10"/>
      <c r="M246" s="60"/>
      <c r="N246" s="37"/>
    </row>
    <row r="247" spans="1:14" s="70" customFormat="1" ht="22.5" customHeight="1">
      <c r="A247" s="28" t="s">
        <v>173</v>
      </c>
      <c r="B247" s="61" t="s">
        <v>179</v>
      </c>
      <c r="C247" s="27">
        <f>C250+C254+C258+C262+C266</f>
        <v>118198</v>
      </c>
      <c r="D247" s="27">
        <f aca="true" t="shared" si="39" ref="D247:M247">D250+D254+D258+D262+D266</f>
        <v>118172</v>
      </c>
      <c r="E247" s="27">
        <f t="shared" si="39"/>
        <v>89036</v>
      </c>
      <c r="F247" s="27">
        <f t="shared" si="39"/>
        <v>29136</v>
      </c>
      <c r="G247" s="27">
        <f t="shared" si="39"/>
        <v>10911</v>
      </c>
      <c r="H247" s="27">
        <f t="shared" si="39"/>
        <v>0</v>
      </c>
      <c r="I247" s="27">
        <f t="shared" si="39"/>
        <v>0</v>
      </c>
      <c r="J247" s="27">
        <f t="shared" si="39"/>
        <v>0</v>
      </c>
      <c r="K247" s="27">
        <f t="shared" si="39"/>
        <v>0</v>
      </c>
      <c r="L247" s="27">
        <f t="shared" si="39"/>
        <v>10911</v>
      </c>
      <c r="M247" s="27">
        <f t="shared" si="39"/>
        <v>0</v>
      </c>
      <c r="N247" s="37"/>
    </row>
    <row r="248" spans="1:14" s="70" customFormat="1" ht="28.5" customHeight="1">
      <c r="A248" s="28"/>
      <c r="B248" s="62" t="s">
        <v>174</v>
      </c>
      <c r="C248" s="27">
        <f>C251+C255+C259+C263+C267</f>
        <v>13699</v>
      </c>
      <c r="D248" s="27">
        <f aca="true" t="shared" si="40" ref="D248:M248">D251+D255+D259+D263+D267</f>
        <v>13714</v>
      </c>
      <c r="E248" s="27">
        <f t="shared" si="40"/>
        <v>0</v>
      </c>
      <c r="F248" s="27">
        <f t="shared" si="40"/>
        <v>13714</v>
      </c>
      <c r="G248" s="27">
        <f t="shared" si="40"/>
        <v>5341</v>
      </c>
      <c r="H248" s="27">
        <f t="shared" si="40"/>
        <v>0</v>
      </c>
      <c r="I248" s="27">
        <f t="shared" si="40"/>
        <v>0</v>
      </c>
      <c r="J248" s="27">
        <f t="shared" si="40"/>
        <v>0</v>
      </c>
      <c r="K248" s="27">
        <f t="shared" si="40"/>
        <v>0</v>
      </c>
      <c r="L248" s="27">
        <f t="shared" si="40"/>
        <v>5341</v>
      </c>
      <c r="M248" s="27">
        <f t="shared" si="40"/>
        <v>0</v>
      </c>
      <c r="N248" s="33"/>
    </row>
    <row r="249" spans="1:14" s="70" customFormat="1" ht="20.25" customHeight="1">
      <c r="A249" s="59"/>
      <c r="B249" s="26" t="s">
        <v>178</v>
      </c>
      <c r="C249" s="10"/>
      <c r="D249" s="10"/>
      <c r="E249" s="77"/>
      <c r="F249" s="77"/>
      <c r="G249" s="77"/>
      <c r="H249" s="77"/>
      <c r="I249" s="77"/>
      <c r="J249" s="77"/>
      <c r="K249" s="77"/>
      <c r="L249" s="77"/>
      <c r="M249" s="77"/>
      <c r="N249" s="33"/>
    </row>
    <row r="250" spans="1:14" s="70" customFormat="1" ht="34.5" customHeight="1">
      <c r="A250" s="28">
        <v>1</v>
      </c>
      <c r="B250" s="311" t="s">
        <v>315</v>
      </c>
      <c r="C250" s="81">
        <v>100647</v>
      </c>
      <c r="D250" s="312">
        <v>100647</v>
      </c>
      <c r="E250" s="81">
        <f>4973+21006+30+35763+19098+4083+4083</f>
        <v>89036</v>
      </c>
      <c r="F250" s="11">
        <f>D250-E250</f>
        <v>11611</v>
      </c>
      <c r="G250" s="81">
        <f>SUM(H250:M250)</f>
        <v>4083</v>
      </c>
      <c r="H250" s="11"/>
      <c r="I250" s="11"/>
      <c r="J250" s="11"/>
      <c r="K250" s="11"/>
      <c r="L250" s="11">
        <v>4083</v>
      </c>
      <c r="M250" s="11"/>
      <c r="N250" s="33" t="s">
        <v>209</v>
      </c>
    </row>
    <row r="251" spans="1:14" s="70" customFormat="1" ht="53.25" customHeight="1">
      <c r="A251" s="28"/>
      <c r="B251" s="313" t="s">
        <v>373</v>
      </c>
      <c r="C251" s="81">
        <v>0</v>
      </c>
      <c r="D251" s="81">
        <v>0</v>
      </c>
      <c r="E251" s="81">
        <v>0</v>
      </c>
      <c r="F251" s="11">
        <f>D251-E251</f>
        <v>0</v>
      </c>
      <c r="G251" s="11">
        <f>SUM(H251:M251)</f>
        <v>0</v>
      </c>
      <c r="H251" s="81"/>
      <c r="I251" s="81"/>
      <c r="J251" s="81"/>
      <c r="K251" s="81"/>
      <c r="L251" s="81">
        <v>0</v>
      </c>
      <c r="M251" s="81"/>
      <c r="N251" s="33"/>
    </row>
    <row r="252" spans="1:14" s="70" customFormat="1" ht="13.5" customHeight="1">
      <c r="A252" s="83"/>
      <c r="B252" s="248"/>
      <c r="C252" s="10"/>
      <c r="D252" s="10"/>
      <c r="E252" s="10"/>
      <c r="F252" s="95"/>
      <c r="G252" s="10"/>
      <c r="H252" s="10"/>
      <c r="I252" s="10"/>
      <c r="J252" s="10"/>
      <c r="K252" s="10"/>
      <c r="L252" s="10"/>
      <c r="M252" s="60"/>
      <c r="N252" s="33"/>
    </row>
    <row r="253" spans="1:14" s="70" customFormat="1" ht="13.5" customHeight="1">
      <c r="A253" s="83"/>
      <c r="B253" s="242"/>
      <c r="C253" s="10"/>
      <c r="D253" s="10"/>
      <c r="E253" s="10"/>
      <c r="F253" s="10"/>
      <c r="G253" s="82"/>
      <c r="H253" s="10"/>
      <c r="I253" s="10"/>
      <c r="J253" s="10"/>
      <c r="K253" s="10"/>
      <c r="L253" s="10"/>
      <c r="M253" s="60"/>
      <c r="N253" s="37"/>
    </row>
    <row r="254" spans="1:14" s="70" customFormat="1" ht="76.5" customHeight="1">
      <c r="A254" s="83">
        <v>2</v>
      </c>
      <c r="B254" s="309" t="s">
        <v>400</v>
      </c>
      <c r="C254" s="11">
        <v>2531</v>
      </c>
      <c r="D254" s="11">
        <v>2531</v>
      </c>
      <c r="E254" s="11">
        <v>0</v>
      </c>
      <c r="F254" s="11">
        <f>D254-E254</f>
        <v>2531</v>
      </c>
      <c r="G254" s="81">
        <f>SUM(H254:M254)</f>
        <v>2531</v>
      </c>
      <c r="H254" s="11"/>
      <c r="I254" s="11"/>
      <c r="J254" s="11"/>
      <c r="K254" s="11"/>
      <c r="L254" s="11">
        <v>2531</v>
      </c>
      <c r="M254" s="71"/>
      <c r="N254" s="33" t="s">
        <v>209</v>
      </c>
    </row>
    <row r="255" spans="1:14" s="70" customFormat="1" ht="29.25" customHeight="1">
      <c r="A255" s="83"/>
      <c r="B255" s="242" t="s">
        <v>401</v>
      </c>
      <c r="C255" s="11">
        <v>1376</v>
      </c>
      <c r="D255" s="11">
        <v>1391</v>
      </c>
      <c r="E255" s="11">
        <v>0</v>
      </c>
      <c r="F255" s="11">
        <f>D255-E255</f>
        <v>1391</v>
      </c>
      <c r="G255" s="81">
        <f>SUM(H255:M255)</f>
        <v>1391</v>
      </c>
      <c r="H255" s="11"/>
      <c r="I255" s="11"/>
      <c r="J255" s="11"/>
      <c r="K255" s="11"/>
      <c r="L255" s="11">
        <v>1391</v>
      </c>
      <c r="M255" s="71"/>
      <c r="N255" s="37"/>
    </row>
    <row r="256" spans="1:14" s="70" customFormat="1" ht="15" customHeight="1">
      <c r="A256" s="83"/>
      <c r="B256" s="242"/>
      <c r="C256" s="10"/>
      <c r="D256" s="10"/>
      <c r="E256" s="10"/>
      <c r="F256" s="10"/>
      <c r="G256" s="82"/>
      <c r="H256" s="10"/>
      <c r="I256" s="10"/>
      <c r="J256" s="10"/>
      <c r="K256" s="10"/>
      <c r="L256" s="10"/>
      <c r="M256" s="60"/>
      <c r="N256" s="37"/>
    </row>
    <row r="257" spans="1:14" s="70" customFormat="1" ht="15" customHeight="1">
      <c r="A257" s="83"/>
      <c r="B257" s="242"/>
      <c r="C257" s="10"/>
      <c r="D257" s="10"/>
      <c r="E257" s="10"/>
      <c r="F257" s="10"/>
      <c r="G257" s="82"/>
      <c r="H257" s="10"/>
      <c r="I257" s="10"/>
      <c r="J257" s="10"/>
      <c r="K257" s="10"/>
      <c r="L257" s="10"/>
      <c r="M257" s="60"/>
      <c r="N257" s="37"/>
    </row>
    <row r="258" spans="1:14" s="70" customFormat="1" ht="34.5" customHeight="1">
      <c r="A258" s="83">
        <v>3</v>
      </c>
      <c r="B258" s="309" t="s">
        <v>90</v>
      </c>
      <c r="C258" s="11">
        <v>10423</v>
      </c>
      <c r="D258" s="11">
        <f>C258</f>
        <v>10423</v>
      </c>
      <c r="E258" s="11">
        <v>0</v>
      </c>
      <c r="F258" s="11">
        <f>D258-E258</f>
        <v>10423</v>
      </c>
      <c r="G258" s="81">
        <f>SUM(H258:M258)</f>
        <v>2355</v>
      </c>
      <c r="H258" s="11"/>
      <c r="I258" s="11"/>
      <c r="J258" s="11"/>
      <c r="K258" s="11"/>
      <c r="L258" s="11">
        <v>2355</v>
      </c>
      <c r="M258" s="71"/>
      <c r="N258" s="33" t="s">
        <v>209</v>
      </c>
    </row>
    <row r="259" spans="1:14" s="70" customFormat="1" ht="29.25" customHeight="1">
      <c r="A259" s="83"/>
      <c r="B259" s="242" t="s">
        <v>91</v>
      </c>
      <c r="C259" s="11">
        <v>8480</v>
      </c>
      <c r="D259" s="11">
        <f>C259</f>
        <v>8480</v>
      </c>
      <c r="E259" s="11">
        <v>0</v>
      </c>
      <c r="F259" s="11">
        <f>D259-E259</f>
        <v>8480</v>
      </c>
      <c r="G259" s="81">
        <f>SUM(H259:M259)</f>
        <v>2200</v>
      </c>
      <c r="H259" s="11"/>
      <c r="I259" s="11"/>
      <c r="J259" s="11"/>
      <c r="K259" s="11"/>
      <c r="L259" s="11">
        <v>2200</v>
      </c>
      <c r="M259" s="71"/>
      <c r="N259" s="37"/>
    </row>
    <row r="260" spans="1:14" s="70" customFormat="1" ht="13.5" customHeight="1">
      <c r="A260" s="83"/>
      <c r="B260" s="242"/>
      <c r="C260" s="10"/>
      <c r="D260" s="10"/>
      <c r="E260" s="10"/>
      <c r="F260" s="10"/>
      <c r="G260" s="82"/>
      <c r="H260" s="10"/>
      <c r="I260" s="10"/>
      <c r="J260" s="10"/>
      <c r="K260" s="10"/>
      <c r="L260" s="10"/>
      <c r="M260" s="60"/>
      <c r="N260" s="37"/>
    </row>
    <row r="261" spans="1:14" s="70" customFormat="1" ht="13.5" customHeight="1">
      <c r="A261" s="83"/>
      <c r="B261" s="242"/>
      <c r="C261" s="10"/>
      <c r="D261" s="10"/>
      <c r="E261" s="10"/>
      <c r="F261" s="10"/>
      <c r="G261" s="82"/>
      <c r="H261" s="10"/>
      <c r="I261" s="10"/>
      <c r="J261" s="10"/>
      <c r="K261" s="10"/>
      <c r="L261" s="10"/>
      <c r="M261" s="60"/>
      <c r="N261" s="37"/>
    </row>
    <row r="262" spans="1:14" s="70" customFormat="1" ht="69" customHeight="1">
      <c r="A262" s="80">
        <v>4</v>
      </c>
      <c r="B262" s="96" t="s">
        <v>545</v>
      </c>
      <c r="C262" s="81">
        <v>2295</v>
      </c>
      <c r="D262" s="81">
        <v>2269</v>
      </c>
      <c r="E262" s="81">
        <v>0</v>
      </c>
      <c r="F262" s="11">
        <f>D262-E262</f>
        <v>2269</v>
      </c>
      <c r="G262" s="81">
        <f>SUM(H262:M262)</f>
        <v>791</v>
      </c>
      <c r="H262" s="81"/>
      <c r="I262" s="81"/>
      <c r="J262" s="81"/>
      <c r="K262" s="81"/>
      <c r="L262" s="81">
        <v>791</v>
      </c>
      <c r="M262" s="81"/>
      <c r="N262" s="33" t="s">
        <v>209</v>
      </c>
    </row>
    <row r="263" spans="1:14" s="70" customFormat="1" ht="18" customHeight="1">
      <c r="A263" s="80"/>
      <c r="B263" s="57" t="s">
        <v>445</v>
      </c>
      <c r="C263" s="81">
        <v>1743</v>
      </c>
      <c r="D263" s="81">
        <f>C263</f>
        <v>1743</v>
      </c>
      <c r="E263" s="81">
        <v>0</v>
      </c>
      <c r="F263" s="11">
        <f>D263-E263</f>
        <v>1743</v>
      </c>
      <c r="G263" s="81">
        <f>SUM(H263:M263)</f>
        <v>700</v>
      </c>
      <c r="H263" s="81"/>
      <c r="I263" s="81"/>
      <c r="J263" s="81"/>
      <c r="K263" s="81"/>
      <c r="L263" s="81">
        <v>700</v>
      </c>
      <c r="M263" s="81"/>
      <c r="N263" s="33"/>
    </row>
    <row r="264" spans="1:14" s="70" customFormat="1" ht="18" customHeight="1">
      <c r="A264" s="80"/>
      <c r="B264" s="57"/>
      <c r="C264" s="82"/>
      <c r="D264" s="82"/>
      <c r="E264" s="82"/>
      <c r="F264" s="10"/>
      <c r="G264" s="82"/>
      <c r="H264" s="82"/>
      <c r="I264" s="82"/>
      <c r="J264" s="82"/>
      <c r="K264" s="82"/>
      <c r="L264" s="82"/>
      <c r="M264" s="82"/>
      <c r="N264" s="33"/>
    </row>
    <row r="265" spans="1:14" s="70" customFormat="1" ht="18" customHeight="1">
      <c r="A265" s="80"/>
      <c r="B265" s="57"/>
      <c r="C265" s="82"/>
      <c r="D265" s="82"/>
      <c r="E265" s="82"/>
      <c r="F265" s="10"/>
      <c r="G265" s="82"/>
      <c r="H265" s="82"/>
      <c r="I265" s="82"/>
      <c r="J265" s="82"/>
      <c r="K265" s="82"/>
      <c r="L265" s="82"/>
      <c r="M265" s="82"/>
      <c r="N265" s="33"/>
    </row>
    <row r="266" spans="1:14" s="70" customFormat="1" ht="42.75">
      <c r="A266" s="80">
        <v>5</v>
      </c>
      <c r="B266" s="96" t="s">
        <v>546</v>
      </c>
      <c r="C266" s="81">
        <v>2302</v>
      </c>
      <c r="D266" s="81">
        <v>2302</v>
      </c>
      <c r="E266" s="81">
        <v>0</v>
      </c>
      <c r="F266" s="11">
        <f>D266-E266</f>
        <v>2302</v>
      </c>
      <c r="G266" s="81">
        <f>SUM(H266:M266)</f>
        <v>1151</v>
      </c>
      <c r="H266" s="81"/>
      <c r="I266" s="81"/>
      <c r="J266" s="81"/>
      <c r="K266" s="81"/>
      <c r="L266" s="81">
        <v>1151</v>
      </c>
      <c r="M266" s="81"/>
      <c r="N266" s="33" t="s">
        <v>209</v>
      </c>
    </row>
    <row r="267" spans="1:14" s="70" customFormat="1" ht="18" customHeight="1">
      <c r="A267" s="80"/>
      <c r="B267" s="57" t="s">
        <v>116</v>
      </c>
      <c r="C267" s="81">
        <v>2100</v>
      </c>
      <c r="D267" s="81">
        <f>C267</f>
        <v>2100</v>
      </c>
      <c r="E267" s="81">
        <v>0</v>
      </c>
      <c r="F267" s="11">
        <f>D267-E267</f>
        <v>2100</v>
      </c>
      <c r="G267" s="81">
        <f>SUM(H267:M267)</f>
        <v>1050</v>
      </c>
      <c r="H267" s="81"/>
      <c r="I267" s="81"/>
      <c r="J267" s="81"/>
      <c r="K267" s="81"/>
      <c r="L267" s="81">
        <v>1050</v>
      </c>
      <c r="M267" s="81"/>
      <c r="N267" s="33"/>
    </row>
    <row r="268" spans="1:14" s="70" customFormat="1" ht="13.5" customHeight="1">
      <c r="A268" s="83"/>
      <c r="B268" s="242"/>
      <c r="C268" s="10"/>
      <c r="D268" s="10"/>
      <c r="E268" s="10"/>
      <c r="F268" s="10"/>
      <c r="G268" s="82"/>
      <c r="H268" s="10"/>
      <c r="I268" s="10"/>
      <c r="J268" s="10"/>
      <c r="K268" s="10"/>
      <c r="M268" s="60"/>
      <c r="N268" s="37"/>
    </row>
    <row r="269" spans="1:14" s="70" customFormat="1" ht="13.5" customHeight="1">
      <c r="A269" s="83"/>
      <c r="B269" s="242"/>
      <c r="C269" s="10"/>
      <c r="D269" s="10"/>
      <c r="E269" s="10"/>
      <c r="F269" s="10"/>
      <c r="G269" s="82"/>
      <c r="H269" s="10"/>
      <c r="I269" s="10"/>
      <c r="J269" s="10"/>
      <c r="K269" s="10"/>
      <c r="M269" s="60"/>
      <c r="N269" s="37"/>
    </row>
    <row r="270" spans="1:14" s="70" customFormat="1" ht="13.5" customHeight="1">
      <c r="A270" s="83"/>
      <c r="B270" s="242"/>
      <c r="C270" s="10"/>
      <c r="D270" s="10"/>
      <c r="E270" s="10"/>
      <c r="F270" s="10"/>
      <c r="G270" s="82"/>
      <c r="H270" s="10"/>
      <c r="I270" s="10"/>
      <c r="J270" s="10"/>
      <c r="K270" s="10"/>
      <c r="M270" s="60"/>
      <c r="N270" s="37"/>
    </row>
    <row r="271" spans="1:14" s="70" customFormat="1" ht="12.75" customHeight="1">
      <c r="A271" s="83"/>
      <c r="B271" s="96"/>
      <c r="C271" s="10"/>
      <c r="D271" s="10"/>
      <c r="E271" s="10"/>
      <c r="F271" s="95"/>
      <c r="G271" s="10"/>
      <c r="H271" s="10"/>
      <c r="I271" s="10"/>
      <c r="J271" s="10"/>
      <c r="K271" s="10"/>
      <c r="L271" s="10"/>
      <c r="M271" s="60"/>
      <c r="N271" s="33"/>
    </row>
    <row r="272" spans="1:14" s="70" customFormat="1" ht="21" customHeight="1">
      <c r="A272" s="28" t="s">
        <v>175</v>
      </c>
      <c r="B272" s="61" t="s">
        <v>183</v>
      </c>
      <c r="C272" s="11">
        <f>C275+C276+C277</f>
        <v>87944</v>
      </c>
      <c r="D272" s="11">
        <f aca="true" t="shared" si="41" ref="D272:M272">D275+D276+D277</f>
        <v>87944</v>
      </c>
      <c r="E272" s="11">
        <f t="shared" si="41"/>
        <v>1475</v>
      </c>
      <c r="F272" s="11">
        <f t="shared" si="41"/>
        <v>86469</v>
      </c>
      <c r="G272" s="11">
        <f t="shared" si="41"/>
        <v>54061</v>
      </c>
      <c r="H272" s="11">
        <f t="shared" si="41"/>
        <v>0</v>
      </c>
      <c r="I272" s="11">
        <f t="shared" si="41"/>
        <v>0</v>
      </c>
      <c r="J272" s="11">
        <f t="shared" si="41"/>
        <v>0</v>
      </c>
      <c r="K272" s="11">
        <f t="shared" si="41"/>
        <v>20586</v>
      </c>
      <c r="L272" s="11">
        <f t="shared" si="41"/>
        <v>33475</v>
      </c>
      <c r="M272" s="11">
        <f t="shared" si="41"/>
        <v>0</v>
      </c>
      <c r="N272" s="33"/>
    </row>
    <row r="273" spans="1:14" s="70" customFormat="1" ht="21" customHeight="1">
      <c r="A273" s="28"/>
      <c r="B273" s="62" t="s">
        <v>184</v>
      </c>
      <c r="C273" s="10"/>
      <c r="D273" s="77"/>
      <c r="E273" s="10"/>
      <c r="F273" s="10"/>
      <c r="G273" s="10"/>
      <c r="H273" s="10"/>
      <c r="I273" s="10"/>
      <c r="J273" s="77"/>
      <c r="K273" s="77"/>
      <c r="L273" s="77"/>
      <c r="M273" s="10"/>
      <c r="N273" s="33"/>
    </row>
    <row r="274" spans="1:14" s="70" customFormat="1" ht="21" customHeight="1">
      <c r="A274" s="72"/>
      <c r="B274" s="26" t="s">
        <v>178</v>
      </c>
      <c r="C274" s="10"/>
      <c r="D274" s="10"/>
      <c r="E274" s="10"/>
      <c r="F274" s="10"/>
      <c r="G274" s="10"/>
      <c r="H274" s="10"/>
      <c r="I274" s="10"/>
      <c r="J274" s="10"/>
      <c r="K274" s="10"/>
      <c r="L274" s="10"/>
      <c r="M274" s="77"/>
      <c r="N274" s="33"/>
    </row>
    <row r="275" spans="1:14" s="70" customFormat="1" ht="24.75" customHeight="1">
      <c r="A275" s="59"/>
      <c r="B275" s="34" t="s">
        <v>152</v>
      </c>
      <c r="C275" s="77">
        <f>'Studii si proiecte 2022'!D166</f>
        <v>40991</v>
      </c>
      <c r="D275" s="77">
        <f>'Studii si proiecte 2022'!E166</f>
        <v>40991</v>
      </c>
      <c r="E275" s="77">
        <f>'Studii si proiecte 2022'!F166</f>
        <v>515</v>
      </c>
      <c r="F275" s="77">
        <f>'Studii si proiecte 2022'!G166</f>
        <v>40476</v>
      </c>
      <c r="G275" s="77">
        <f>'Studii si proiecte 2022'!H166</f>
        <v>12368</v>
      </c>
      <c r="H275" s="77">
        <f>'Studii si proiecte 2022'!I166</f>
        <v>0</v>
      </c>
      <c r="I275" s="77">
        <f>'Studii si proiecte 2022'!J166</f>
        <v>0</v>
      </c>
      <c r="J275" s="77">
        <f>'Studii si proiecte 2022'!K166</f>
        <v>0</v>
      </c>
      <c r="K275" s="77">
        <f>'Studii si proiecte 2022'!L166</f>
        <v>2106</v>
      </c>
      <c r="L275" s="77">
        <f>'Studii si proiecte 2022'!M166</f>
        <v>10262</v>
      </c>
      <c r="M275" s="77">
        <f>'Studii si proiecte 2022'!N166</f>
        <v>0</v>
      </c>
      <c r="N275" s="33"/>
    </row>
    <row r="276" spans="1:14" s="70" customFormat="1" ht="24.75" customHeight="1">
      <c r="A276" s="72"/>
      <c r="B276" s="34" t="s">
        <v>197</v>
      </c>
      <c r="C276" s="77">
        <f>'Dotari 2022'!D118</f>
        <v>20364</v>
      </c>
      <c r="D276" s="77">
        <f>'Dotari 2022'!E118</f>
        <v>20364</v>
      </c>
      <c r="E276" s="77">
        <f>'Dotari 2022'!F118</f>
        <v>960</v>
      </c>
      <c r="F276" s="77">
        <f>'Dotari 2022'!G118</f>
        <v>19404</v>
      </c>
      <c r="G276" s="77">
        <f>'Dotari 2022'!H118</f>
        <v>15104</v>
      </c>
      <c r="H276" s="77">
        <f>'Dotari 2022'!I118</f>
        <v>0</v>
      </c>
      <c r="I276" s="77">
        <f>'Dotari 2022'!J118</f>
        <v>0</v>
      </c>
      <c r="J276" s="77">
        <f>'Dotari 2022'!K118</f>
        <v>0</v>
      </c>
      <c r="K276" s="77">
        <f>'Dotari 2022'!L118</f>
        <v>388</v>
      </c>
      <c r="L276" s="77">
        <f>'Dotari 2022'!M118</f>
        <v>14716</v>
      </c>
      <c r="M276" s="77">
        <f>'Dotari 2022'!N118</f>
        <v>0</v>
      </c>
      <c r="N276" s="33"/>
    </row>
    <row r="277" spans="1:14" s="70" customFormat="1" ht="24.75" customHeight="1">
      <c r="A277" s="72"/>
      <c r="B277" s="34" t="s">
        <v>269</v>
      </c>
      <c r="C277" s="97">
        <f>'Alte chelt 2022'!D69</f>
        <v>26589</v>
      </c>
      <c r="D277" s="97">
        <f>'Alte chelt 2022'!E69</f>
        <v>26589</v>
      </c>
      <c r="E277" s="97">
        <f>'Alte chelt 2022'!F69</f>
        <v>0</v>
      </c>
      <c r="F277" s="97">
        <f>'Alte chelt 2022'!G69</f>
        <v>26589</v>
      </c>
      <c r="G277" s="97">
        <f>'Alte chelt 2022'!H69</f>
        <v>26589</v>
      </c>
      <c r="H277" s="97">
        <f>'Alte chelt 2022'!I69</f>
        <v>0</v>
      </c>
      <c r="I277" s="97">
        <f>'Alte chelt 2022'!J69</f>
        <v>0</v>
      </c>
      <c r="J277" s="97">
        <f>'Alte chelt 2022'!K69</f>
        <v>0</v>
      </c>
      <c r="K277" s="97">
        <f>'Alte chelt 2022'!L69</f>
        <v>18092</v>
      </c>
      <c r="L277" s="97">
        <f>'Alte chelt 2022'!M69</f>
        <v>8497</v>
      </c>
      <c r="M277" s="97">
        <f>'Alte chelt 2022'!N69</f>
        <v>0</v>
      </c>
      <c r="N277" s="33"/>
    </row>
    <row r="278" spans="1:14" s="70" customFormat="1" ht="21" customHeight="1">
      <c r="A278" s="72"/>
      <c r="B278" s="34"/>
      <c r="C278" s="97"/>
      <c r="D278" s="97"/>
      <c r="E278" s="97"/>
      <c r="F278" s="97"/>
      <c r="G278" s="97"/>
      <c r="H278" s="97"/>
      <c r="I278" s="97"/>
      <c r="J278" s="97"/>
      <c r="K278" s="97"/>
      <c r="L278" s="97"/>
      <c r="M278" s="97"/>
      <c r="N278" s="33"/>
    </row>
    <row r="279" spans="1:14" s="70" customFormat="1" ht="21" customHeight="1">
      <c r="A279" s="72"/>
      <c r="B279" s="34"/>
      <c r="C279" s="97"/>
      <c r="D279" s="97"/>
      <c r="E279" s="97"/>
      <c r="F279" s="97"/>
      <c r="G279" s="97"/>
      <c r="H279" s="97"/>
      <c r="I279" s="97"/>
      <c r="J279" s="97"/>
      <c r="K279" s="97"/>
      <c r="L279" s="97"/>
      <c r="M279" s="97"/>
      <c r="N279" s="33"/>
    </row>
    <row r="280" spans="1:14" s="70" customFormat="1" ht="21" customHeight="1">
      <c r="A280" s="72"/>
      <c r="B280" s="34"/>
      <c r="C280" s="97"/>
      <c r="D280" s="97"/>
      <c r="E280" s="97"/>
      <c r="F280" s="97"/>
      <c r="G280" s="97"/>
      <c r="H280" s="97"/>
      <c r="I280" s="97"/>
      <c r="J280" s="97"/>
      <c r="K280" s="97"/>
      <c r="L280" s="97"/>
      <c r="M280" s="97"/>
      <c r="N280" s="33"/>
    </row>
    <row r="281" spans="1:14" s="70" customFormat="1" ht="21" customHeight="1">
      <c r="A281" s="72"/>
      <c r="B281" s="34"/>
      <c r="C281" s="97"/>
      <c r="D281" s="97"/>
      <c r="E281" s="97"/>
      <c r="F281" s="97"/>
      <c r="G281" s="97"/>
      <c r="H281" s="97"/>
      <c r="I281" s="97"/>
      <c r="J281" s="97"/>
      <c r="K281" s="97"/>
      <c r="L281" s="97"/>
      <c r="M281" s="97"/>
      <c r="N281" s="33"/>
    </row>
    <row r="282" spans="1:14" s="70" customFormat="1" ht="21" customHeight="1">
      <c r="A282" s="72"/>
      <c r="B282" s="34"/>
      <c r="C282" s="97"/>
      <c r="D282" s="97"/>
      <c r="E282" s="97"/>
      <c r="F282" s="97"/>
      <c r="G282" s="97"/>
      <c r="H282" s="97"/>
      <c r="I282" s="97"/>
      <c r="J282" s="97"/>
      <c r="K282" s="97"/>
      <c r="L282" s="97"/>
      <c r="M282" s="97"/>
      <c r="N282" s="33"/>
    </row>
    <row r="283" spans="1:14" s="70" customFormat="1" ht="21" customHeight="1">
      <c r="A283" s="72"/>
      <c r="B283" s="34"/>
      <c r="C283" s="97"/>
      <c r="D283" s="97"/>
      <c r="E283" s="97"/>
      <c r="F283" s="97"/>
      <c r="G283" s="97"/>
      <c r="H283" s="97"/>
      <c r="I283" s="97"/>
      <c r="J283" s="97"/>
      <c r="K283" s="97"/>
      <c r="L283" s="97"/>
      <c r="M283" s="97"/>
      <c r="N283" s="33"/>
    </row>
    <row r="284" spans="1:14" s="70" customFormat="1" ht="21" customHeight="1">
      <c r="A284" s="72"/>
      <c r="B284" s="34"/>
      <c r="C284" s="97"/>
      <c r="D284" s="97"/>
      <c r="E284" s="97"/>
      <c r="F284" s="97"/>
      <c r="G284" s="97"/>
      <c r="H284" s="97"/>
      <c r="I284" s="97"/>
      <c r="J284" s="97"/>
      <c r="K284" s="97"/>
      <c r="L284" s="97"/>
      <c r="M284" s="97"/>
      <c r="N284" s="33"/>
    </row>
    <row r="285" spans="1:14" s="70" customFormat="1" ht="21" customHeight="1">
      <c r="A285" s="72"/>
      <c r="B285" s="34"/>
      <c r="C285" s="97"/>
      <c r="D285" s="97"/>
      <c r="E285" s="97"/>
      <c r="F285" s="97"/>
      <c r="G285" s="97"/>
      <c r="H285" s="97"/>
      <c r="I285" s="97"/>
      <c r="J285" s="97"/>
      <c r="K285" s="97"/>
      <c r="L285" s="97"/>
      <c r="M285" s="97"/>
      <c r="N285" s="33"/>
    </row>
    <row r="286" spans="1:14" s="70" customFormat="1" ht="21" customHeight="1">
      <c r="A286" s="72"/>
      <c r="B286" s="34"/>
      <c r="C286" s="97"/>
      <c r="D286" s="97"/>
      <c r="E286" s="97"/>
      <c r="F286" s="97"/>
      <c r="G286" s="97"/>
      <c r="H286" s="97"/>
      <c r="I286" s="97"/>
      <c r="J286" s="97"/>
      <c r="K286" s="97"/>
      <c r="L286" s="97"/>
      <c r="M286" s="97"/>
      <c r="N286" s="33"/>
    </row>
    <row r="287" spans="1:14" s="70" customFormat="1" ht="21" customHeight="1">
      <c r="A287" s="72"/>
      <c r="B287" s="34"/>
      <c r="C287" s="97"/>
      <c r="D287" s="97"/>
      <c r="E287" s="97"/>
      <c r="F287" s="97"/>
      <c r="G287" s="97"/>
      <c r="H287" s="97"/>
      <c r="I287" s="97"/>
      <c r="J287" s="97"/>
      <c r="K287" s="97"/>
      <c r="L287" s="97"/>
      <c r="M287" s="97"/>
      <c r="N287" s="33"/>
    </row>
    <row r="288" spans="1:14" s="70" customFormat="1" ht="21" customHeight="1">
      <c r="A288" s="72"/>
      <c r="B288" s="34"/>
      <c r="C288" s="97"/>
      <c r="D288" s="97"/>
      <c r="E288" s="97"/>
      <c r="F288" s="97"/>
      <c r="G288" s="97"/>
      <c r="H288" s="97"/>
      <c r="I288" s="97"/>
      <c r="J288" s="97"/>
      <c r="K288" s="97"/>
      <c r="L288" s="97"/>
      <c r="M288" s="97"/>
      <c r="N288" s="33"/>
    </row>
    <row r="289" spans="1:14" s="70" customFormat="1" ht="21" customHeight="1">
      <c r="A289" s="72"/>
      <c r="B289" s="34"/>
      <c r="C289" s="97"/>
      <c r="D289" s="97"/>
      <c r="E289" s="97"/>
      <c r="F289" s="97"/>
      <c r="G289" s="97"/>
      <c r="H289" s="97"/>
      <c r="I289" s="97"/>
      <c r="J289" s="97"/>
      <c r="K289" s="97"/>
      <c r="L289" s="97"/>
      <c r="M289" s="97"/>
      <c r="N289" s="33"/>
    </row>
    <row r="290" spans="1:14" s="70" customFormat="1" ht="21" customHeight="1">
      <c r="A290" s="72"/>
      <c r="B290" s="34"/>
      <c r="C290" s="97"/>
      <c r="D290" s="97"/>
      <c r="E290" s="97"/>
      <c r="F290" s="97"/>
      <c r="G290" s="97"/>
      <c r="H290" s="97"/>
      <c r="I290" s="97"/>
      <c r="J290" s="97"/>
      <c r="K290" s="97"/>
      <c r="L290" s="97"/>
      <c r="M290" s="97"/>
      <c r="N290" s="33"/>
    </row>
    <row r="291" spans="1:14" s="70" customFormat="1" ht="21" customHeight="1">
      <c r="A291" s="72"/>
      <c r="B291" s="34"/>
      <c r="C291" s="97"/>
      <c r="D291" s="97"/>
      <c r="E291" s="97"/>
      <c r="F291" s="97"/>
      <c r="G291" s="97"/>
      <c r="H291" s="97"/>
      <c r="I291" s="97"/>
      <c r="J291" s="97"/>
      <c r="K291" s="97"/>
      <c r="L291" s="97"/>
      <c r="M291" s="97"/>
      <c r="N291" s="33"/>
    </row>
    <row r="292" spans="1:14" s="70" customFormat="1" ht="21" customHeight="1">
      <c r="A292" s="72"/>
      <c r="B292" s="34"/>
      <c r="C292" s="97"/>
      <c r="D292" s="97"/>
      <c r="E292" s="97"/>
      <c r="F292" s="97"/>
      <c r="G292" s="97"/>
      <c r="H292" s="97"/>
      <c r="I292" s="97"/>
      <c r="J292" s="97"/>
      <c r="K292" s="97"/>
      <c r="L292" s="97"/>
      <c r="M292" s="97"/>
      <c r="N292" s="33"/>
    </row>
    <row r="293" spans="1:14" s="70" customFormat="1" ht="39" customHeight="1">
      <c r="A293" s="282"/>
      <c r="B293" s="195" t="s">
        <v>251</v>
      </c>
      <c r="C293" s="18" t="s">
        <v>239</v>
      </c>
      <c r="D293" s="18"/>
      <c r="E293" s="18"/>
      <c r="F293" s="18"/>
      <c r="G293" s="18"/>
      <c r="H293" s="15"/>
      <c r="I293" s="15"/>
      <c r="J293" s="15"/>
      <c r="K293" s="15"/>
      <c r="L293" s="79"/>
      <c r="M293" s="15" t="s">
        <v>185</v>
      </c>
      <c r="N293" s="33"/>
    </row>
    <row r="294" spans="1:14" s="70" customFormat="1" ht="21.75" customHeight="1">
      <c r="A294" s="80"/>
      <c r="B294" s="26" t="s">
        <v>178</v>
      </c>
      <c r="C294" s="89">
        <f>C297+C303+C309</f>
        <v>8110</v>
      </c>
      <c r="D294" s="89">
        <f aca="true" t="shared" si="42" ref="D294:M294">D297+D303+D309</f>
        <v>8110</v>
      </c>
      <c r="E294" s="89">
        <f t="shared" si="42"/>
        <v>2906</v>
      </c>
      <c r="F294" s="89">
        <f t="shared" si="42"/>
        <v>5204</v>
      </c>
      <c r="G294" s="89">
        <f t="shared" si="42"/>
        <v>5204</v>
      </c>
      <c r="H294" s="89">
        <f t="shared" si="42"/>
        <v>0</v>
      </c>
      <c r="I294" s="89">
        <f t="shared" si="42"/>
        <v>0</v>
      </c>
      <c r="J294" s="89">
        <f t="shared" si="42"/>
        <v>0</v>
      </c>
      <c r="K294" s="89">
        <f t="shared" si="42"/>
        <v>0</v>
      </c>
      <c r="L294" s="89">
        <f t="shared" si="42"/>
        <v>5204</v>
      </c>
      <c r="M294" s="89">
        <f t="shared" si="42"/>
        <v>0</v>
      </c>
      <c r="N294" s="33"/>
    </row>
    <row r="295" spans="1:14" s="70" customFormat="1" ht="21.75" customHeight="1">
      <c r="A295" s="80"/>
      <c r="B295" s="34"/>
      <c r="C295" s="89">
        <f>C298+C304+C310</f>
        <v>0</v>
      </c>
      <c r="D295" s="89">
        <f aca="true" t="shared" si="43" ref="D295:M295">D298+D304+D310</f>
        <v>0</v>
      </c>
      <c r="E295" s="89">
        <f t="shared" si="43"/>
        <v>0</v>
      </c>
      <c r="F295" s="89">
        <f t="shared" si="43"/>
        <v>0</v>
      </c>
      <c r="G295" s="89">
        <f t="shared" si="43"/>
        <v>0</v>
      </c>
      <c r="H295" s="89">
        <f t="shared" si="43"/>
        <v>0</v>
      </c>
      <c r="I295" s="89">
        <f t="shared" si="43"/>
        <v>0</v>
      </c>
      <c r="J295" s="89">
        <f t="shared" si="43"/>
        <v>0</v>
      </c>
      <c r="K295" s="89">
        <f t="shared" si="43"/>
        <v>0</v>
      </c>
      <c r="L295" s="89">
        <f t="shared" si="43"/>
        <v>0</v>
      </c>
      <c r="M295" s="89">
        <f t="shared" si="43"/>
        <v>0</v>
      </c>
      <c r="N295" s="33"/>
    </row>
    <row r="296" spans="1:14" s="70" customFormat="1" ht="10.5" customHeight="1">
      <c r="A296" s="80"/>
      <c r="B296" s="34"/>
      <c r="C296" s="82"/>
      <c r="D296" s="82"/>
      <c r="E296" s="82"/>
      <c r="F296" s="82"/>
      <c r="G296" s="82"/>
      <c r="H296" s="82"/>
      <c r="I296" s="82"/>
      <c r="J296" s="82"/>
      <c r="K296" s="82"/>
      <c r="L296" s="82"/>
      <c r="M296" s="82"/>
      <c r="N296" s="33"/>
    </row>
    <row r="297" spans="1:14" s="70" customFormat="1" ht="24" customHeight="1">
      <c r="A297" s="80" t="s">
        <v>232</v>
      </c>
      <c r="B297" s="61" t="s">
        <v>179</v>
      </c>
      <c r="C297" s="86">
        <f>C300</f>
        <v>0</v>
      </c>
      <c r="D297" s="81">
        <f aca="true" t="shared" si="44" ref="D297:M297">D300</f>
        <v>0</v>
      </c>
      <c r="E297" s="81">
        <f t="shared" si="44"/>
        <v>0</v>
      </c>
      <c r="F297" s="81">
        <f t="shared" si="44"/>
        <v>0</v>
      </c>
      <c r="G297" s="81">
        <f>SUM(H297:M297)</f>
        <v>0</v>
      </c>
      <c r="H297" s="81">
        <f t="shared" si="44"/>
        <v>0</v>
      </c>
      <c r="I297" s="81">
        <f t="shared" si="44"/>
        <v>0</v>
      </c>
      <c r="J297" s="81">
        <f t="shared" si="44"/>
        <v>0</v>
      </c>
      <c r="K297" s="81">
        <f t="shared" si="44"/>
        <v>0</v>
      </c>
      <c r="L297" s="81">
        <f t="shared" si="44"/>
        <v>0</v>
      </c>
      <c r="M297" s="81">
        <f t="shared" si="44"/>
        <v>0</v>
      </c>
      <c r="N297" s="33"/>
    </row>
    <row r="298" spans="1:14" s="70" customFormat="1" ht="24" customHeight="1">
      <c r="A298" s="80"/>
      <c r="B298" s="62" t="s">
        <v>172</v>
      </c>
      <c r="C298" s="86">
        <f>C301</f>
        <v>0</v>
      </c>
      <c r="D298" s="81">
        <f aca="true" t="shared" si="45" ref="D298:M298">D301</f>
        <v>0</v>
      </c>
      <c r="E298" s="81">
        <f t="shared" si="45"/>
        <v>0</v>
      </c>
      <c r="F298" s="81">
        <f t="shared" si="45"/>
        <v>0</v>
      </c>
      <c r="G298" s="81">
        <f>SUM(H298:M298)</f>
        <v>0</v>
      </c>
      <c r="H298" s="81">
        <f t="shared" si="45"/>
        <v>0</v>
      </c>
      <c r="I298" s="81">
        <f t="shared" si="45"/>
        <v>0</v>
      </c>
      <c r="J298" s="81">
        <f t="shared" si="45"/>
        <v>0</v>
      </c>
      <c r="K298" s="81">
        <f t="shared" si="45"/>
        <v>0</v>
      </c>
      <c r="L298" s="81">
        <f t="shared" si="45"/>
        <v>0</v>
      </c>
      <c r="M298" s="81">
        <f t="shared" si="45"/>
        <v>0</v>
      </c>
      <c r="N298" s="33"/>
    </row>
    <row r="299" spans="1:14" s="70" customFormat="1" ht="15.75">
      <c r="A299" s="80"/>
      <c r="B299" s="57" t="s">
        <v>182</v>
      </c>
      <c r="C299" s="82"/>
      <c r="D299" s="82"/>
      <c r="E299" s="82"/>
      <c r="F299" s="82"/>
      <c r="G299" s="82"/>
      <c r="H299" s="82"/>
      <c r="I299" s="82"/>
      <c r="J299" s="82"/>
      <c r="K299" s="82"/>
      <c r="L299" s="82"/>
      <c r="M299" s="82"/>
      <c r="N299" s="33"/>
    </row>
    <row r="300" spans="1:14" s="70" customFormat="1" ht="15.75" hidden="1">
      <c r="A300" s="80">
        <v>1</v>
      </c>
      <c r="B300" s="198"/>
      <c r="C300" s="11">
        <v>0</v>
      </c>
      <c r="D300" s="11">
        <v>0</v>
      </c>
      <c r="E300" s="11">
        <v>0</v>
      </c>
      <c r="F300" s="11">
        <f>D300-E300</f>
        <v>0</v>
      </c>
      <c r="G300" s="81">
        <f>SUM(H300:M300)</f>
        <v>0</v>
      </c>
      <c r="H300" s="11"/>
      <c r="I300" s="11"/>
      <c r="J300" s="11"/>
      <c r="K300" s="11">
        <v>0</v>
      </c>
      <c r="L300" s="11">
        <v>0</v>
      </c>
      <c r="M300" s="71"/>
      <c r="N300" s="33"/>
    </row>
    <row r="301" spans="1:14" s="70" customFormat="1" ht="15.75" hidden="1">
      <c r="A301" s="80"/>
      <c r="B301" s="198"/>
      <c r="C301" s="11">
        <v>0</v>
      </c>
      <c r="D301" s="11">
        <v>0</v>
      </c>
      <c r="E301" s="11">
        <v>0</v>
      </c>
      <c r="F301" s="11">
        <f>D301-E301</f>
        <v>0</v>
      </c>
      <c r="G301" s="81">
        <f>SUM(H301:M301)</f>
        <v>0</v>
      </c>
      <c r="H301" s="11"/>
      <c r="I301" s="11"/>
      <c r="J301" s="11"/>
      <c r="K301" s="11">
        <v>0</v>
      </c>
      <c r="L301" s="11">
        <v>0</v>
      </c>
      <c r="M301" s="71"/>
      <c r="N301" s="33"/>
    </row>
    <row r="302" spans="1:14" s="70" customFormat="1" ht="6" customHeight="1">
      <c r="A302" s="80"/>
      <c r="B302" s="198"/>
      <c r="C302" s="10"/>
      <c r="D302" s="10"/>
      <c r="E302" s="10"/>
      <c r="F302" s="10"/>
      <c r="G302" s="82"/>
      <c r="H302" s="10"/>
      <c r="I302" s="10"/>
      <c r="J302" s="10"/>
      <c r="K302" s="10"/>
      <c r="L302" s="10"/>
      <c r="M302" s="60"/>
      <c r="N302" s="33"/>
    </row>
    <row r="303" spans="1:14" s="70" customFormat="1" ht="21.75" customHeight="1">
      <c r="A303" s="17" t="s">
        <v>173</v>
      </c>
      <c r="B303" s="61" t="s">
        <v>179</v>
      </c>
      <c r="C303" s="86">
        <f aca="true" t="shared" si="46" ref="C303:M303">C306</f>
        <v>0</v>
      </c>
      <c r="D303" s="86">
        <f t="shared" si="46"/>
        <v>0</v>
      </c>
      <c r="E303" s="86">
        <f t="shared" si="46"/>
        <v>0</v>
      </c>
      <c r="F303" s="86">
        <f t="shared" si="46"/>
        <v>0</v>
      </c>
      <c r="G303" s="86">
        <f>SUM(H303:M303)</f>
        <v>0</v>
      </c>
      <c r="H303" s="86">
        <f t="shared" si="46"/>
        <v>0</v>
      </c>
      <c r="I303" s="86">
        <f t="shared" si="46"/>
        <v>0</v>
      </c>
      <c r="J303" s="86">
        <f t="shared" si="46"/>
        <v>0</v>
      </c>
      <c r="K303" s="86">
        <f t="shared" si="46"/>
        <v>0</v>
      </c>
      <c r="L303" s="86">
        <f t="shared" si="46"/>
        <v>0</v>
      </c>
      <c r="M303" s="86">
        <f t="shared" si="46"/>
        <v>0</v>
      </c>
      <c r="N303" s="33"/>
    </row>
    <row r="304" spans="1:14" s="70" customFormat="1" ht="21.75" customHeight="1">
      <c r="A304" s="80"/>
      <c r="B304" s="62" t="s">
        <v>174</v>
      </c>
      <c r="C304" s="86">
        <f aca="true" t="shared" si="47" ref="C304:M304">C307</f>
        <v>0</v>
      </c>
      <c r="D304" s="86">
        <f t="shared" si="47"/>
        <v>0</v>
      </c>
      <c r="E304" s="86">
        <f t="shared" si="47"/>
        <v>0</v>
      </c>
      <c r="F304" s="86">
        <f t="shared" si="47"/>
        <v>0</v>
      </c>
      <c r="G304" s="86">
        <f>SUM(H304:M304)</f>
        <v>0</v>
      </c>
      <c r="H304" s="86">
        <f t="shared" si="47"/>
        <v>0</v>
      </c>
      <c r="I304" s="86">
        <f t="shared" si="47"/>
        <v>0</v>
      </c>
      <c r="J304" s="86">
        <f t="shared" si="47"/>
        <v>0</v>
      </c>
      <c r="K304" s="86">
        <f t="shared" si="47"/>
        <v>0</v>
      </c>
      <c r="L304" s="86">
        <f t="shared" si="47"/>
        <v>0</v>
      </c>
      <c r="M304" s="86">
        <f t="shared" si="47"/>
        <v>0</v>
      </c>
      <c r="N304" s="33"/>
    </row>
    <row r="305" spans="1:14" s="70" customFormat="1" ht="15.75" customHeight="1">
      <c r="A305" s="80"/>
      <c r="B305" s="57"/>
      <c r="C305" s="82"/>
      <c r="D305" s="82"/>
      <c r="E305" s="82"/>
      <c r="F305" s="82"/>
      <c r="G305" s="82"/>
      <c r="H305" s="82"/>
      <c r="I305" s="82"/>
      <c r="J305" s="82"/>
      <c r="K305" s="82"/>
      <c r="L305" s="82"/>
      <c r="M305" s="82"/>
      <c r="N305" s="33"/>
    </row>
    <row r="306" spans="1:14" s="70" customFormat="1" ht="16.5" customHeight="1" hidden="1">
      <c r="A306" s="80">
        <v>1</v>
      </c>
      <c r="B306" s="96"/>
      <c r="C306" s="81">
        <v>0</v>
      </c>
      <c r="D306" s="81">
        <v>0</v>
      </c>
      <c r="E306" s="81">
        <v>0</v>
      </c>
      <c r="F306" s="11">
        <f>D306-E306</f>
        <v>0</v>
      </c>
      <c r="G306" s="81">
        <f>SUM(H306:M306)</f>
        <v>0</v>
      </c>
      <c r="H306" s="81"/>
      <c r="I306" s="81"/>
      <c r="J306" s="81"/>
      <c r="K306" s="81"/>
      <c r="L306" s="81">
        <v>0</v>
      </c>
      <c r="M306" s="81"/>
      <c r="N306" s="33"/>
    </row>
    <row r="307" spans="1:14" s="70" customFormat="1" ht="15.75" hidden="1">
      <c r="A307" s="80"/>
      <c r="B307" s="57"/>
      <c r="C307" s="81">
        <v>0</v>
      </c>
      <c r="D307" s="81">
        <v>0</v>
      </c>
      <c r="E307" s="81">
        <v>0</v>
      </c>
      <c r="F307" s="11">
        <f>D307-E307</f>
        <v>0</v>
      </c>
      <c r="G307" s="81">
        <f>SUM(H307:M307)</f>
        <v>0</v>
      </c>
      <c r="H307" s="81"/>
      <c r="I307" s="81"/>
      <c r="J307" s="81"/>
      <c r="K307" s="81"/>
      <c r="L307" s="81">
        <v>0</v>
      </c>
      <c r="M307" s="81"/>
      <c r="N307" s="33"/>
    </row>
    <row r="308" spans="1:14" s="70" customFormat="1" ht="15.75">
      <c r="A308" s="80"/>
      <c r="B308" s="57"/>
      <c r="C308" s="82"/>
      <c r="D308" s="82"/>
      <c r="E308" s="82"/>
      <c r="F308" s="82"/>
      <c r="G308" s="82"/>
      <c r="H308" s="82"/>
      <c r="I308" s="82"/>
      <c r="J308" s="82"/>
      <c r="K308" s="82"/>
      <c r="L308" s="82"/>
      <c r="M308" s="82"/>
      <c r="N308" s="33"/>
    </row>
    <row r="309" spans="1:14" s="70" customFormat="1" ht="23.25" customHeight="1">
      <c r="A309" s="80" t="s">
        <v>175</v>
      </c>
      <c r="B309" s="61" t="s">
        <v>276</v>
      </c>
      <c r="C309" s="86">
        <f>C312+C313</f>
        <v>8110</v>
      </c>
      <c r="D309" s="86">
        <f aca="true" t="shared" si="48" ref="D309:M309">D312+D313</f>
        <v>8110</v>
      </c>
      <c r="E309" s="86">
        <f t="shared" si="48"/>
        <v>2906</v>
      </c>
      <c r="F309" s="86">
        <f t="shared" si="48"/>
        <v>5204</v>
      </c>
      <c r="G309" s="86">
        <f t="shared" si="48"/>
        <v>5204</v>
      </c>
      <c r="H309" s="86">
        <f t="shared" si="48"/>
        <v>0</v>
      </c>
      <c r="I309" s="86">
        <f t="shared" si="48"/>
        <v>0</v>
      </c>
      <c r="J309" s="86">
        <f t="shared" si="48"/>
        <v>0</v>
      </c>
      <c r="K309" s="86">
        <f t="shared" si="48"/>
        <v>0</v>
      </c>
      <c r="L309" s="86">
        <f t="shared" si="48"/>
        <v>5204</v>
      </c>
      <c r="M309" s="86">
        <f t="shared" si="48"/>
        <v>0</v>
      </c>
      <c r="N309" s="33"/>
    </row>
    <row r="310" spans="1:14" s="70" customFormat="1" ht="23.25" customHeight="1">
      <c r="A310" s="80"/>
      <c r="B310" s="62" t="s">
        <v>181</v>
      </c>
      <c r="C310" s="82"/>
      <c r="D310" s="82"/>
      <c r="E310" s="82"/>
      <c r="F310" s="82"/>
      <c r="G310" s="82"/>
      <c r="H310" s="82"/>
      <c r="I310" s="82"/>
      <c r="J310" s="82"/>
      <c r="K310" s="82"/>
      <c r="L310" s="82"/>
      <c r="M310" s="82"/>
      <c r="N310" s="84"/>
    </row>
    <row r="311" spans="1:14" s="70" customFormat="1" ht="23.25" customHeight="1">
      <c r="A311" s="80"/>
      <c r="B311" s="26" t="s">
        <v>178</v>
      </c>
      <c r="C311" s="87"/>
      <c r="D311" s="87"/>
      <c r="E311" s="87"/>
      <c r="F311" s="87"/>
      <c r="G311" s="87"/>
      <c r="H311" s="87"/>
      <c r="I311" s="87"/>
      <c r="J311" s="87"/>
      <c r="K311" s="87"/>
      <c r="L311" s="87"/>
      <c r="M311" s="87"/>
      <c r="N311" s="85"/>
    </row>
    <row r="312" spans="1:14" s="70" customFormat="1" ht="23.25" customHeight="1">
      <c r="A312" s="80"/>
      <c r="B312" s="34" t="s">
        <v>152</v>
      </c>
      <c r="C312" s="99">
        <f>'Studii si proiecte 2022'!D179</f>
        <v>8110</v>
      </c>
      <c r="D312" s="99">
        <f>'Studii si proiecte 2022'!E179</f>
        <v>8110</v>
      </c>
      <c r="E312" s="99">
        <f>'Studii si proiecte 2022'!F179</f>
        <v>2906</v>
      </c>
      <c r="F312" s="99">
        <f>'Studii si proiecte 2022'!G179</f>
        <v>5204</v>
      </c>
      <c r="G312" s="99">
        <f>'Studii si proiecte 2022'!H179</f>
        <v>5204</v>
      </c>
      <c r="H312" s="99">
        <f>'Studii si proiecte 2022'!I179</f>
        <v>0</v>
      </c>
      <c r="I312" s="99">
        <f>'Studii si proiecte 2022'!J179</f>
        <v>0</v>
      </c>
      <c r="J312" s="99">
        <f>'Studii si proiecte 2022'!K179</f>
        <v>0</v>
      </c>
      <c r="K312" s="99">
        <f>'Studii si proiecte 2022'!L179</f>
        <v>0</v>
      </c>
      <c r="L312" s="99">
        <f>'Studii si proiecte 2022'!M179</f>
        <v>5204</v>
      </c>
      <c r="M312" s="99">
        <f>'Studii si proiecte 2022'!N179</f>
        <v>0</v>
      </c>
      <c r="N312" s="85"/>
    </row>
    <row r="313" spans="1:14" s="70" customFormat="1" ht="23.25" customHeight="1">
      <c r="A313" s="72"/>
      <c r="B313" s="34" t="s">
        <v>197</v>
      </c>
      <c r="C313" s="77">
        <f>'Dotari 2022'!D124</f>
        <v>0</v>
      </c>
      <c r="D313" s="77">
        <f>'Dotari 2022'!E124</f>
        <v>0</v>
      </c>
      <c r="E313" s="77">
        <f>'Dotari 2022'!F124</f>
        <v>0</v>
      </c>
      <c r="F313" s="77">
        <f>'Dotari 2022'!G124</f>
        <v>0</v>
      </c>
      <c r="G313" s="77">
        <f>'Dotari 2022'!H124</f>
        <v>0</v>
      </c>
      <c r="H313" s="77">
        <f>'Dotari 2022'!I124</f>
        <v>0</v>
      </c>
      <c r="I313" s="77">
        <f>'Dotari 2022'!J124</f>
        <v>0</v>
      </c>
      <c r="J313" s="77">
        <f>'Dotari 2022'!K124</f>
        <v>0</v>
      </c>
      <c r="K313" s="77">
        <f>'Dotari 2022'!L124</f>
        <v>0</v>
      </c>
      <c r="L313" s="77">
        <f>'Dotari 2022'!M124</f>
        <v>0</v>
      </c>
      <c r="M313" s="77">
        <f>'Dotari 2022'!N124</f>
        <v>0</v>
      </c>
      <c r="N313" s="85"/>
    </row>
    <row r="314" spans="1:14" s="70" customFormat="1" ht="12.75" customHeight="1">
      <c r="A314" s="72"/>
      <c r="B314" s="34"/>
      <c r="C314" s="77"/>
      <c r="D314" s="77"/>
      <c r="E314" s="77"/>
      <c r="F314" s="77"/>
      <c r="G314" s="77"/>
      <c r="H314" s="77"/>
      <c r="I314" s="77"/>
      <c r="J314" s="77"/>
      <c r="K314" s="77"/>
      <c r="L314" s="77"/>
      <c r="M314" s="77"/>
      <c r="N314" s="85"/>
    </row>
    <row r="315" spans="1:14" s="70" customFormat="1" ht="90.75" customHeight="1">
      <c r="A315" s="72"/>
      <c r="B315" s="34"/>
      <c r="C315" s="77"/>
      <c r="D315" s="77"/>
      <c r="E315" s="77"/>
      <c r="F315" s="77"/>
      <c r="G315" s="77"/>
      <c r="H315" s="77"/>
      <c r="I315" s="77"/>
      <c r="J315" s="77"/>
      <c r="K315" s="77"/>
      <c r="L315" s="77"/>
      <c r="M315" s="77"/>
      <c r="N315" s="85"/>
    </row>
    <row r="316" spans="1:14" s="70" customFormat="1" ht="50.25" customHeight="1">
      <c r="A316" s="282"/>
      <c r="B316" s="195" t="s">
        <v>282</v>
      </c>
      <c r="C316" s="18" t="s">
        <v>283</v>
      </c>
      <c r="D316" s="18"/>
      <c r="E316" s="18"/>
      <c r="F316" s="18"/>
      <c r="G316" s="18"/>
      <c r="H316" s="15"/>
      <c r="I316" s="15"/>
      <c r="J316" s="15"/>
      <c r="K316" s="15"/>
      <c r="L316" s="79"/>
      <c r="M316" s="15" t="s">
        <v>185</v>
      </c>
      <c r="N316" s="33"/>
    </row>
    <row r="317" spans="1:14" s="70" customFormat="1" ht="21" customHeight="1">
      <c r="A317" s="80"/>
      <c r="B317" s="26" t="s">
        <v>178</v>
      </c>
      <c r="C317" s="89">
        <f aca="true" t="shared" si="49" ref="C317:M317">C320+C328+C334</f>
        <v>13033</v>
      </c>
      <c r="D317" s="89">
        <f t="shared" si="49"/>
        <v>14964</v>
      </c>
      <c r="E317" s="89">
        <f t="shared" si="49"/>
        <v>4</v>
      </c>
      <c r="F317" s="89">
        <f t="shared" si="49"/>
        <v>14960</v>
      </c>
      <c r="G317" s="89">
        <f t="shared" si="49"/>
        <v>3988</v>
      </c>
      <c r="H317" s="89">
        <f t="shared" si="49"/>
        <v>0</v>
      </c>
      <c r="I317" s="89">
        <f t="shared" si="49"/>
        <v>0</v>
      </c>
      <c r="J317" s="89">
        <f t="shared" si="49"/>
        <v>3988</v>
      </c>
      <c r="K317" s="89">
        <f t="shared" si="49"/>
        <v>0</v>
      </c>
      <c r="L317" s="89">
        <f t="shared" si="49"/>
        <v>0</v>
      </c>
      <c r="M317" s="89">
        <f t="shared" si="49"/>
        <v>0</v>
      </c>
      <c r="N317" s="33"/>
    </row>
    <row r="318" spans="1:14" s="70" customFormat="1" ht="21" customHeight="1">
      <c r="A318" s="80"/>
      <c r="B318" s="34"/>
      <c r="C318" s="89">
        <f aca="true" t="shared" si="50" ref="C318:M318">C321+C329+C335</f>
        <v>9311</v>
      </c>
      <c r="D318" s="89">
        <f t="shared" si="50"/>
        <v>9281</v>
      </c>
      <c r="E318" s="89">
        <f t="shared" si="50"/>
        <v>0</v>
      </c>
      <c r="F318" s="89">
        <f t="shared" si="50"/>
        <v>9281</v>
      </c>
      <c r="G318" s="89">
        <f t="shared" si="50"/>
        <v>2472</v>
      </c>
      <c r="H318" s="89">
        <f t="shared" si="50"/>
        <v>0</v>
      </c>
      <c r="I318" s="89">
        <f t="shared" si="50"/>
        <v>0</v>
      </c>
      <c r="J318" s="89">
        <f t="shared" si="50"/>
        <v>2472</v>
      </c>
      <c r="K318" s="89">
        <f t="shared" si="50"/>
        <v>0</v>
      </c>
      <c r="L318" s="89">
        <f t="shared" si="50"/>
        <v>0</v>
      </c>
      <c r="M318" s="89">
        <f t="shared" si="50"/>
        <v>0</v>
      </c>
      <c r="N318" s="33"/>
    </row>
    <row r="319" spans="1:14" s="70" customFormat="1" ht="12.75" customHeight="1">
      <c r="A319" s="80"/>
      <c r="B319" s="34"/>
      <c r="C319" s="82"/>
      <c r="D319" s="82"/>
      <c r="E319" s="82"/>
      <c r="F319" s="82"/>
      <c r="G319" s="82"/>
      <c r="H319" s="82"/>
      <c r="I319" s="82"/>
      <c r="J319" s="82"/>
      <c r="K319" s="82"/>
      <c r="L319" s="82"/>
      <c r="M319" s="82"/>
      <c r="N319" s="33"/>
    </row>
    <row r="320" spans="1:14" s="70" customFormat="1" ht="18" customHeight="1">
      <c r="A320" s="80" t="s">
        <v>232</v>
      </c>
      <c r="B320" s="61" t="s">
        <v>179</v>
      </c>
      <c r="C320" s="86">
        <f>C324</f>
        <v>13029</v>
      </c>
      <c r="D320" s="86">
        <f aca="true" t="shared" si="51" ref="D320:M320">D324</f>
        <v>14960</v>
      </c>
      <c r="E320" s="86">
        <f t="shared" si="51"/>
        <v>4</v>
      </c>
      <c r="F320" s="86">
        <f t="shared" si="51"/>
        <v>14956</v>
      </c>
      <c r="G320" s="86">
        <f t="shared" si="51"/>
        <v>3984</v>
      </c>
      <c r="H320" s="86">
        <f t="shared" si="51"/>
        <v>0</v>
      </c>
      <c r="I320" s="86">
        <f t="shared" si="51"/>
        <v>0</v>
      </c>
      <c r="J320" s="86">
        <f t="shared" si="51"/>
        <v>3984</v>
      </c>
      <c r="K320" s="86">
        <f t="shared" si="51"/>
        <v>0</v>
      </c>
      <c r="L320" s="86">
        <f t="shared" si="51"/>
        <v>0</v>
      </c>
      <c r="M320" s="86">
        <f t="shared" si="51"/>
        <v>0</v>
      </c>
      <c r="N320" s="33"/>
    </row>
    <row r="321" spans="1:14" s="70" customFormat="1" ht="18" customHeight="1">
      <c r="A321" s="80"/>
      <c r="B321" s="62" t="s">
        <v>172</v>
      </c>
      <c r="C321" s="86">
        <f>C325</f>
        <v>9311</v>
      </c>
      <c r="D321" s="86">
        <f aca="true" t="shared" si="52" ref="D321:M321">D325</f>
        <v>9281</v>
      </c>
      <c r="E321" s="86">
        <f t="shared" si="52"/>
        <v>0</v>
      </c>
      <c r="F321" s="86">
        <f t="shared" si="52"/>
        <v>9281</v>
      </c>
      <c r="G321" s="86">
        <f t="shared" si="52"/>
        <v>2472</v>
      </c>
      <c r="H321" s="86">
        <f t="shared" si="52"/>
        <v>0</v>
      </c>
      <c r="I321" s="86">
        <f t="shared" si="52"/>
        <v>0</v>
      </c>
      <c r="J321" s="86">
        <f t="shared" si="52"/>
        <v>2472</v>
      </c>
      <c r="K321" s="86">
        <f t="shared" si="52"/>
        <v>0</v>
      </c>
      <c r="L321" s="86">
        <f t="shared" si="52"/>
        <v>0</v>
      </c>
      <c r="M321" s="86">
        <f t="shared" si="52"/>
        <v>0</v>
      </c>
      <c r="N321" s="33"/>
    </row>
    <row r="322" spans="1:14" s="70" customFormat="1" ht="17.25" customHeight="1">
      <c r="A322" s="80"/>
      <c r="B322" s="57" t="s">
        <v>182</v>
      </c>
      <c r="C322" s="82"/>
      <c r="D322" s="82"/>
      <c r="E322" s="82"/>
      <c r="F322" s="82"/>
      <c r="G322" s="82"/>
      <c r="H322" s="82"/>
      <c r="I322" s="82"/>
      <c r="J322" s="82"/>
      <c r="K322" s="82"/>
      <c r="L322" s="82"/>
      <c r="M322" s="82"/>
      <c r="N322" s="33"/>
    </row>
    <row r="323" spans="1:14" s="70" customFormat="1" ht="17.25" customHeight="1">
      <c r="A323" s="80"/>
      <c r="B323" s="57"/>
      <c r="C323" s="82"/>
      <c r="D323" s="82"/>
      <c r="E323" s="82"/>
      <c r="F323" s="82"/>
      <c r="G323" s="82"/>
      <c r="H323" s="82"/>
      <c r="I323" s="82"/>
      <c r="J323" s="82"/>
      <c r="K323" s="82"/>
      <c r="L323" s="82"/>
      <c r="M323" s="82"/>
      <c r="N323" s="33"/>
    </row>
    <row r="324" spans="1:14" s="70" customFormat="1" ht="21" customHeight="1">
      <c r="A324" s="83">
        <v>1</v>
      </c>
      <c r="B324" s="309" t="s">
        <v>328</v>
      </c>
      <c r="C324" s="11">
        <v>13029</v>
      </c>
      <c r="D324" s="11">
        <v>14960</v>
      </c>
      <c r="E324" s="11">
        <v>4</v>
      </c>
      <c r="F324" s="11">
        <f>D324-E324</f>
        <v>14956</v>
      </c>
      <c r="G324" s="81">
        <f>SUM(H324:M324)</f>
        <v>3984</v>
      </c>
      <c r="H324" s="11"/>
      <c r="I324" s="11"/>
      <c r="J324" s="11">
        <v>3984</v>
      </c>
      <c r="K324" s="11"/>
      <c r="L324" s="11">
        <v>0</v>
      </c>
      <c r="M324" s="71"/>
      <c r="N324" s="33" t="s">
        <v>209</v>
      </c>
    </row>
    <row r="325" spans="1:14" s="70" customFormat="1" ht="21" customHeight="1">
      <c r="A325" s="83"/>
      <c r="B325" s="242" t="s">
        <v>405</v>
      </c>
      <c r="C325" s="11">
        <v>9311</v>
      </c>
      <c r="D325" s="11">
        <v>9281</v>
      </c>
      <c r="E325" s="11">
        <v>0</v>
      </c>
      <c r="F325" s="11">
        <f>D325-E325</f>
        <v>9281</v>
      </c>
      <c r="G325" s="81">
        <f>SUM(H325:M325)</f>
        <v>2472</v>
      </c>
      <c r="H325" s="11"/>
      <c r="I325" s="11"/>
      <c r="J325" s="11">
        <v>2472</v>
      </c>
      <c r="K325" s="11"/>
      <c r="L325" s="310">
        <v>0</v>
      </c>
      <c r="M325" s="71"/>
      <c r="N325" s="37"/>
    </row>
    <row r="326" spans="1:14" s="70" customFormat="1" ht="17.25" customHeight="1">
      <c r="A326" s="80"/>
      <c r="B326" s="57"/>
      <c r="C326" s="82"/>
      <c r="D326" s="82"/>
      <c r="E326" s="82"/>
      <c r="F326" s="82"/>
      <c r="G326" s="82"/>
      <c r="H326" s="82"/>
      <c r="I326" s="82"/>
      <c r="J326" s="82"/>
      <c r="K326" s="82"/>
      <c r="L326" s="82"/>
      <c r="M326" s="82"/>
      <c r="N326" s="33"/>
    </row>
    <row r="327" spans="1:14" s="70" customFormat="1" ht="11.25" customHeight="1">
      <c r="A327" s="80"/>
      <c r="B327" s="198"/>
      <c r="C327" s="10"/>
      <c r="D327" s="10"/>
      <c r="E327" s="10"/>
      <c r="F327" s="10"/>
      <c r="G327" s="82"/>
      <c r="H327" s="10"/>
      <c r="I327" s="10"/>
      <c r="J327" s="10"/>
      <c r="K327" s="10"/>
      <c r="L327" s="10"/>
      <c r="M327" s="60"/>
      <c r="N327" s="33"/>
    </row>
    <row r="328" spans="1:14" s="70" customFormat="1" ht="18" customHeight="1">
      <c r="A328" s="17" t="s">
        <v>173</v>
      </c>
      <c r="B328" s="61" t="s">
        <v>179</v>
      </c>
      <c r="C328" s="81"/>
      <c r="D328" s="81"/>
      <c r="E328" s="81"/>
      <c r="F328" s="81"/>
      <c r="G328" s="81"/>
      <c r="H328" s="81"/>
      <c r="I328" s="81"/>
      <c r="J328" s="81"/>
      <c r="K328" s="81"/>
      <c r="L328" s="81"/>
      <c r="M328" s="81"/>
      <c r="N328" s="33"/>
    </row>
    <row r="329" spans="1:14" s="70" customFormat="1" ht="18" customHeight="1">
      <c r="A329" s="80"/>
      <c r="B329" s="62" t="s">
        <v>174</v>
      </c>
      <c r="C329" s="81"/>
      <c r="D329" s="81"/>
      <c r="E329" s="81"/>
      <c r="F329" s="81"/>
      <c r="G329" s="81"/>
      <c r="H329" s="81"/>
      <c r="I329" s="81"/>
      <c r="J329" s="81"/>
      <c r="K329" s="81"/>
      <c r="L329" s="81"/>
      <c r="M329" s="81"/>
      <c r="N329" s="33"/>
    </row>
    <row r="330" spans="1:14" s="70" customFormat="1" ht="12.75" customHeight="1">
      <c r="A330" s="80"/>
      <c r="B330" s="57"/>
      <c r="C330" s="82"/>
      <c r="D330" s="82"/>
      <c r="E330" s="82"/>
      <c r="F330" s="82"/>
      <c r="G330" s="82"/>
      <c r="H330" s="82"/>
      <c r="I330" s="82"/>
      <c r="J330" s="82"/>
      <c r="K330" s="82"/>
      <c r="L330" s="82"/>
      <c r="M330" s="82"/>
      <c r="N330" s="33"/>
    </row>
    <row r="331" spans="1:14" s="70" customFormat="1" ht="14.25" customHeight="1">
      <c r="A331" s="80"/>
      <c r="B331" s="57"/>
      <c r="C331" s="82"/>
      <c r="D331" s="82"/>
      <c r="E331" s="82"/>
      <c r="F331" s="82"/>
      <c r="G331" s="82"/>
      <c r="H331" s="82"/>
      <c r="I331" s="82"/>
      <c r="J331" s="82"/>
      <c r="K331" s="82"/>
      <c r="L331" s="82"/>
      <c r="M331" s="82"/>
      <c r="N331" s="33"/>
    </row>
    <row r="332" spans="1:14" s="70" customFormat="1" ht="13.5" customHeight="1" hidden="1">
      <c r="A332" s="80">
        <v>1</v>
      </c>
      <c r="B332" s="96"/>
      <c r="C332" s="81">
        <v>0</v>
      </c>
      <c r="D332" s="81">
        <v>0</v>
      </c>
      <c r="E332" s="81">
        <v>0</v>
      </c>
      <c r="F332" s="11">
        <f>D332-E332</f>
        <v>0</v>
      </c>
      <c r="G332" s="81">
        <f>SUM(H332:M332)</f>
        <v>0</v>
      </c>
      <c r="H332" s="81"/>
      <c r="I332" s="81"/>
      <c r="J332" s="81"/>
      <c r="K332" s="81"/>
      <c r="L332" s="81">
        <v>0</v>
      </c>
      <c r="M332" s="81"/>
      <c r="N332" s="33"/>
    </row>
    <row r="333" spans="1:14" s="70" customFormat="1" ht="15" customHeight="1" hidden="1">
      <c r="A333" s="80"/>
      <c r="B333" s="57"/>
      <c r="C333" s="81">
        <v>0</v>
      </c>
      <c r="D333" s="81">
        <v>0</v>
      </c>
      <c r="E333" s="81">
        <v>0</v>
      </c>
      <c r="F333" s="11">
        <f>D333-E333</f>
        <v>0</v>
      </c>
      <c r="G333" s="81">
        <f>SUM(H333:M333)</f>
        <v>0</v>
      </c>
      <c r="H333" s="81"/>
      <c r="I333" s="81"/>
      <c r="J333" s="81"/>
      <c r="K333" s="81"/>
      <c r="L333" s="81">
        <v>0</v>
      </c>
      <c r="M333" s="81"/>
      <c r="N333" s="33"/>
    </row>
    <row r="334" spans="1:14" s="70" customFormat="1" ht="18" customHeight="1">
      <c r="A334" s="80" t="s">
        <v>175</v>
      </c>
      <c r="B334" s="61" t="s">
        <v>276</v>
      </c>
      <c r="C334" s="86">
        <f>C337+C338</f>
        <v>4</v>
      </c>
      <c r="D334" s="86">
        <f aca="true" t="shared" si="53" ref="D334:M334">D337+D338</f>
        <v>4</v>
      </c>
      <c r="E334" s="86">
        <f t="shared" si="53"/>
        <v>0</v>
      </c>
      <c r="F334" s="86">
        <f t="shared" si="53"/>
        <v>4</v>
      </c>
      <c r="G334" s="86">
        <f t="shared" si="53"/>
        <v>4</v>
      </c>
      <c r="H334" s="86">
        <f t="shared" si="53"/>
        <v>0</v>
      </c>
      <c r="I334" s="86">
        <f t="shared" si="53"/>
        <v>0</v>
      </c>
      <c r="J334" s="86">
        <f t="shared" si="53"/>
        <v>4</v>
      </c>
      <c r="K334" s="86">
        <f t="shared" si="53"/>
        <v>0</v>
      </c>
      <c r="L334" s="86">
        <f t="shared" si="53"/>
        <v>0</v>
      </c>
      <c r="M334" s="86">
        <f t="shared" si="53"/>
        <v>0</v>
      </c>
      <c r="N334" s="33"/>
    </row>
    <row r="335" spans="1:14" s="70" customFormat="1" ht="18" customHeight="1">
      <c r="A335" s="80"/>
      <c r="B335" s="62" t="s">
        <v>181</v>
      </c>
      <c r="C335" s="82"/>
      <c r="D335" s="82"/>
      <c r="E335" s="82"/>
      <c r="F335" s="82"/>
      <c r="G335" s="82"/>
      <c r="H335" s="82"/>
      <c r="I335" s="82"/>
      <c r="J335" s="82"/>
      <c r="K335" s="82"/>
      <c r="L335" s="82"/>
      <c r="M335" s="82"/>
      <c r="N335" s="84"/>
    </row>
    <row r="336" spans="1:14" s="70" customFormat="1" ht="18" customHeight="1">
      <c r="A336" s="80"/>
      <c r="B336" s="26" t="s">
        <v>178</v>
      </c>
      <c r="C336" s="87"/>
      <c r="D336" s="87"/>
      <c r="E336" s="87"/>
      <c r="F336" s="87"/>
      <c r="G336" s="87"/>
      <c r="H336" s="87"/>
      <c r="I336" s="87"/>
      <c r="J336" s="87"/>
      <c r="K336" s="87"/>
      <c r="L336" s="87"/>
      <c r="M336" s="87"/>
      <c r="N336" s="85"/>
    </row>
    <row r="337" spans="1:14" s="70" customFormat="1" ht="18" customHeight="1">
      <c r="A337" s="80"/>
      <c r="B337" s="34" t="s">
        <v>152</v>
      </c>
      <c r="C337" s="87">
        <f>'Studii si proiecte 2022'!D184</f>
        <v>0</v>
      </c>
      <c r="D337" s="87">
        <f>'Studii si proiecte 2022'!E184</f>
        <v>0</v>
      </c>
      <c r="E337" s="87">
        <f>'Studii si proiecte 2022'!F184</f>
        <v>0</v>
      </c>
      <c r="F337" s="87">
        <f>'Studii si proiecte 2022'!G184</f>
        <v>0</v>
      </c>
      <c r="G337" s="87">
        <f>'Studii si proiecte 2022'!H184</f>
        <v>0</v>
      </c>
      <c r="H337" s="87">
        <f>'Studii si proiecte 2022'!I184</f>
        <v>0</v>
      </c>
      <c r="I337" s="87">
        <f>'Studii si proiecte 2022'!J184</f>
        <v>0</v>
      </c>
      <c r="J337" s="87">
        <f>'Studii si proiecte 2022'!K184</f>
        <v>0</v>
      </c>
      <c r="K337" s="87">
        <f>'Studii si proiecte 2022'!L184</f>
        <v>0</v>
      </c>
      <c r="L337" s="87">
        <f>'Studii si proiecte 2022'!M184</f>
        <v>0</v>
      </c>
      <c r="M337" s="87">
        <f>'Studii si proiecte 2022'!N184</f>
        <v>0</v>
      </c>
      <c r="N337" s="85"/>
    </row>
    <row r="338" spans="1:14" s="70" customFormat="1" ht="18" customHeight="1">
      <c r="A338" s="72"/>
      <c r="B338" s="34" t="s">
        <v>197</v>
      </c>
      <c r="C338" s="77">
        <f>'Dotari 2022'!D133</f>
        <v>4</v>
      </c>
      <c r="D338" s="77">
        <f>'Dotari 2022'!E133</f>
        <v>4</v>
      </c>
      <c r="E338" s="77">
        <f>'Dotari 2022'!F133</f>
        <v>0</v>
      </c>
      <c r="F338" s="77">
        <f>'Dotari 2022'!G133</f>
        <v>4</v>
      </c>
      <c r="G338" s="77">
        <f>'Dotari 2022'!H133</f>
        <v>4</v>
      </c>
      <c r="H338" s="77">
        <f>'Dotari 2022'!I133</f>
        <v>0</v>
      </c>
      <c r="I338" s="77">
        <f>'Dotari 2022'!J133</f>
        <v>0</v>
      </c>
      <c r="J338" s="77">
        <f>'Dotari 2022'!K133</f>
        <v>4</v>
      </c>
      <c r="K338" s="77">
        <f>'Dotari 2022'!L133</f>
        <v>0</v>
      </c>
      <c r="L338" s="77">
        <f>'Dotari 2022'!M133</f>
        <v>0</v>
      </c>
      <c r="M338" s="77">
        <f>'Dotari 2022'!N133</f>
        <v>0</v>
      </c>
      <c r="N338" s="85"/>
    </row>
    <row r="339" spans="1:14" s="70" customFormat="1" ht="60.75" customHeight="1">
      <c r="A339" s="72"/>
      <c r="B339" s="34"/>
      <c r="C339" s="77"/>
      <c r="D339" s="77"/>
      <c r="E339" s="77"/>
      <c r="F339" s="77"/>
      <c r="G339" s="77"/>
      <c r="H339" s="77"/>
      <c r="I339" s="77"/>
      <c r="J339" s="77"/>
      <c r="K339" s="77"/>
      <c r="L339" s="77"/>
      <c r="M339" s="77"/>
      <c r="N339" s="85"/>
    </row>
    <row r="340" spans="1:14" s="70" customFormat="1" ht="34.5" customHeight="1">
      <c r="A340" s="282"/>
      <c r="B340" s="195" t="s">
        <v>292</v>
      </c>
      <c r="C340" s="18" t="s">
        <v>293</v>
      </c>
      <c r="D340" s="18"/>
      <c r="E340" s="18"/>
      <c r="F340" s="18"/>
      <c r="G340" s="18"/>
      <c r="H340" s="15"/>
      <c r="I340" s="15"/>
      <c r="J340" s="15"/>
      <c r="K340" s="15"/>
      <c r="L340" s="79"/>
      <c r="M340" s="15" t="s">
        <v>185</v>
      </c>
      <c r="N340" s="33"/>
    </row>
    <row r="341" spans="1:14" s="70" customFormat="1" ht="22.5" customHeight="1">
      <c r="A341" s="80"/>
      <c r="B341" s="26" t="s">
        <v>178</v>
      </c>
      <c r="C341" s="89">
        <f aca="true" t="shared" si="54" ref="C341:M341">C344+C350+C365</f>
        <v>302193</v>
      </c>
      <c r="D341" s="89">
        <f t="shared" si="54"/>
        <v>302193</v>
      </c>
      <c r="E341" s="89">
        <f t="shared" si="54"/>
        <v>58</v>
      </c>
      <c r="F341" s="89">
        <f t="shared" si="54"/>
        <v>302135</v>
      </c>
      <c r="G341" s="89">
        <f t="shared" si="54"/>
        <v>31378</v>
      </c>
      <c r="H341" s="89">
        <f t="shared" si="54"/>
        <v>0</v>
      </c>
      <c r="I341" s="89">
        <f t="shared" si="54"/>
        <v>0</v>
      </c>
      <c r="J341" s="89">
        <f t="shared" si="54"/>
        <v>30776</v>
      </c>
      <c r="K341" s="89">
        <f t="shared" si="54"/>
        <v>0</v>
      </c>
      <c r="L341" s="89">
        <f t="shared" si="54"/>
        <v>602</v>
      </c>
      <c r="M341" s="89">
        <f t="shared" si="54"/>
        <v>0</v>
      </c>
      <c r="N341" s="33"/>
    </row>
    <row r="342" spans="1:14" s="70" customFormat="1" ht="22.5" customHeight="1">
      <c r="A342" s="80"/>
      <c r="B342" s="34"/>
      <c r="C342" s="89">
        <f aca="true" t="shared" si="55" ref="C342:M342">C345+C351+C366</f>
        <v>265566</v>
      </c>
      <c r="D342" s="89">
        <f t="shared" si="55"/>
        <v>265566</v>
      </c>
      <c r="E342" s="89">
        <f t="shared" si="55"/>
        <v>0</v>
      </c>
      <c r="F342" s="89">
        <f t="shared" si="55"/>
        <v>265566</v>
      </c>
      <c r="G342" s="89">
        <f t="shared" si="55"/>
        <v>28049</v>
      </c>
      <c r="H342" s="89">
        <f t="shared" si="55"/>
        <v>0</v>
      </c>
      <c r="I342" s="89">
        <f t="shared" si="55"/>
        <v>0</v>
      </c>
      <c r="J342" s="89">
        <f t="shared" si="55"/>
        <v>27699</v>
      </c>
      <c r="K342" s="89">
        <f t="shared" si="55"/>
        <v>0</v>
      </c>
      <c r="L342" s="89">
        <f t="shared" si="55"/>
        <v>350</v>
      </c>
      <c r="M342" s="89">
        <f t="shared" si="55"/>
        <v>0</v>
      </c>
      <c r="N342" s="33"/>
    </row>
    <row r="343" spans="1:14" s="70" customFormat="1" ht="22.5" customHeight="1">
      <c r="A343" s="80"/>
      <c r="B343" s="34"/>
      <c r="C343" s="82"/>
      <c r="D343" s="82"/>
      <c r="E343" s="82"/>
      <c r="F343" s="82"/>
      <c r="G343" s="82"/>
      <c r="H343" s="82"/>
      <c r="I343" s="82"/>
      <c r="J343" s="82"/>
      <c r="K343" s="82"/>
      <c r="L343" s="82"/>
      <c r="M343" s="82"/>
      <c r="N343" s="33"/>
    </row>
    <row r="344" spans="1:14" s="70" customFormat="1" ht="22.5" customHeight="1">
      <c r="A344" s="80" t="s">
        <v>232</v>
      </c>
      <c r="B344" s="61" t="s">
        <v>179</v>
      </c>
      <c r="C344" s="86">
        <f aca="true" t="shared" si="56" ref="C344:M344">C348</f>
        <v>0</v>
      </c>
      <c r="D344" s="81">
        <f t="shared" si="56"/>
        <v>0</v>
      </c>
      <c r="E344" s="81">
        <f t="shared" si="56"/>
        <v>0</v>
      </c>
      <c r="F344" s="81">
        <f t="shared" si="56"/>
        <v>0</v>
      </c>
      <c r="G344" s="81">
        <f t="shared" si="56"/>
        <v>0</v>
      </c>
      <c r="H344" s="81">
        <f t="shared" si="56"/>
        <v>0</v>
      </c>
      <c r="I344" s="81">
        <f t="shared" si="56"/>
        <v>0</v>
      </c>
      <c r="J344" s="81">
        <f t="shared" si="56"/>
        <v>0</v>
      </c>
      <c r="K344" s="81">
        <f t="shared" si="56"/>
        <v>0</v>
      </c>
      <c r="L344" s="81">
        <f t="shared" si="56"/>
        <v>0</v>
      </c>
      <c r="M344" s="81">
        <f t="shared" si="56"/>
        <v>0</v>
      </c>
      <c r="N344" s="33"/>
    </row>
    <row r="345" spans="1:14" s="70" customFormat="1" ht="22.5" customHeight="1">
      <c r="A345" s="80"/>
      <c r="B345" s="62" t="s">
        <v>172</v>
      </c>
      <c r="C345" s="86">
        <f aca="true" t="shared" si="57" ref="C345:M345">C349</f>
        <v>0</v>
      </c>
      <c r="D345" s="81">
        <f t="shared" si="57"/>
        <v>0</v>
      </c>
      <c r="E345" s="81">
        <f t="shared" si="57"/>
        <v>0</v>
      </c>
      <c r="F345" s="81">
        <f t="shared" si="57"/>
        <v>0</v>
      </c>
      <c r="G345" s="81">
        <f t="shared" si="57"/>
        <v>0</v>
      </c>
      <c r="H345" s="81">
        <f t="shared" si="57"/>
        <v>0</v>
      </c>
      <c r="I345" s="81">
        <f t="shared" si="57"/>
        <v>0</v>
      </c>
      <c r="J345" s="81">
        <f t="shared" si="57"/>
        <v>0</v>
      </c>
      <c r="K345" s="81">
        <f t="shared" si="57"/>
        <v>0</v>
      </c>
      <c r="L345" s="81">
        <f t="shared" si="57"/>
        <v>0</v>
      </c>
      <c r="M345" s="81">
        <f t="shared" si="57"/>
        <v>0</v>
      </c>
      <c r="N345" s="33"/>
    </row>
    <row r="346" spans="1:14" s="70" customFormat="1" ht="22.5" customHeight="1">
      <c r="A346" s="80"/>
      <c r="B346" s="57" t="s">
        <v>182</v>
      </c>
      <c r="C346" s="82"/>
      <c r="D346" s="82"/>
      <c r="E346" s="82"/>
      <c r="F346" s="82"/>
      <c r="G346" s="82"/>
      <c r="H346" s="82"/>
      <c r="I346" s="82"/>
      <c r="J346" s="82"/>
      <c r="K346" s="82"/>
      <c r="L346" s="82"/>
      <c r="M346" s="82"/>
      <c r="N346" s="33"/>
    </row>
    <row r="347" spans="1:14" s="70" customFormat="1" ht="3.75" customHeight="1">
      <c r="A347" s="80"/>
      <c r="C347" s="82"/>
      <c r="D347" s="82"/>
      <c r="E347" s="82"/>
      <c r="F347" s="82"/>
      <c r="G347" s="82"/>
      <c r="H347" s="82"/>
      <c r="I347" s="82"/>
      <c r="J347" s="82"/>
      <c r="K347" s="82"/>
      <c r="L347" s="82"/>
      <c r="M347" s="82"/>
      <c r="N347" s="33"/>
    </row>
    <row r="348" spans="1:14" s="70" customFormat="1" ht="18" customHeight="1" hidden="1">
      <c r="A348" s="80">
        <v>1</v>
      </c>
      <c r="B348" s="198"/>
      <c r="C348" s="98">
        <v>0</v>
      </c>
      <c r="D348" s="11">
        <v>0</v>
      </c>
      <c r="E348" s="11">
        <v>0</v>
      </c>
      <c r="F348" s="11">
        <f>D348-E348</f>
        <v>0</v>
      </c>
      <c r="G348" s="81">
        <f>SUM(H348:M348)</f>
        <v>0</v>
      </c>
      <c r="H348" s="11"/>
      <c r="I348" s="11"/>
      <c r="J348" s="11"/>
      <c r="K348" s="11">
        <v>0</v>
      </c>
      <c r="L348" s="11">
        <v>0</v>
      </c>
      <c r="M348" s="71"/>
      <c r="N348" s="33"/>
    </row>
    <row r="349" spans="1:14" s="70" customFormat="1" ht="18" customHeight="1" hidden="1">
      <c r="A349" s="80"/>
      <c r="B349" s="198"/>
      <c r="C349" s="11">
        <v>0</v>
      </c>
      <c r="D349" s="11">
        <v>0</v>
      </c>
      <c r="E349" s="11">
        <v>0</v>
      </c>
      <c r="F349" s="11">
        <f>D349-E349</f>
        <v>0</v>
      </c>
      <c r="G349" s="81">
        <f>SUM(H349:M349)</f>
        <v>0</v>
      </c>
      <c r="H349" s="11"/>
      <c r="I349" s="11"/>
      <c r="J349" s="11"/>
      <c r="K349" s="11">
        <v>0</v>
      </c>
      <c r="L349" s="11">
        <v>0</v>
      </c>
      <c r="M349" s="71"/>
      <c r="N349" s="33"/>
    </row>
    <row r="350" spans="1:14" s="70" customFormat="1" ht="22.5" customHeight="1">
      <c r="A350" s="17" t="s">
        <v>173</v>
      </c>
      <c r="B350" s="61" t="s">
        <v>179</v>
      </c>
      <c r="C350" s="86">
        <f>C353+C357+C361</f>
        <v>301739</v>
      </c>
      <c r="D350" s="86">
        <f aca="true" t="shared" si="58" ref="D350:M350">D353+D357+D361</f>
        <v>301739</v>
      </c>
      <c r="E350" s="86">
        <f t="shared" si="58"/>
        <v>0</v>
      </c>
      <c r="F350" s="86">
        <f t="shared" si="58"/>
        <v>301739</v>
      </c>
      <c r="G350" s="86">
        <f t="shared" si="58"/>
        <v>31143</v>
      </c>
      <c r="H350" s="86">
        <f t="shared" si="58"/>
        <v>0</v>
      </c>
      <c r="I350" s="86">
        <f t="shared" si="58"/>
        <v>0</v>
      </c>
      <c r="J350" s="86">
        <f t="shared" si="58"/>
        <v>30776</v>
      </c>
      <c r="K350" s="86">
        <f t="shared" si="58"/>
        <v>0</v>
      </c>
      <c r="L350" s="86">
        <f t="shared" si="58"/>
        <v>367</v>
      </c>
      <c r="M350" s="86">
        <f t="shared" si="58"/>
        <v>0</v>
      </c>
      <c r="N350" s="33"/>
    </row>
    <row r="351" spans="1:14" s="70" customFormat="1" ht="22.5" customHeight="1">
      <c r="A351" s="80"/>
      <c r="B351" s="62" t="s">
        <v>174</v>
      </c>
      <c r="C351" s="86">
        <f>C354+C358+C362</f>
        <v>265566</v>
      </c>
      <c r="D351" s="86">
        <f aca="true" t="shared" si="59" ref="D351:M351">D354+D358+D362</f>
        <v>265566</v>
      </c>
      <c r="E351" s="86">
        <f t="shared" si="59"/>
        <v>0</v>
      </c>
      <c r="F351" s="86">
        <f t="shared" si="59"/>
        <v>265566</v>
      </c>
      <c r="G351" s="86">
        <f t="shared" si="59"/>
        <v>28049</v>
      </c>
      <c r="H351" s="86">
        <f t="shared" si="59"/>
        <v>0</v>
      </c>
      <c r="I351" s="86">
        <f t="shared" si="59"/>
        <v>0</v>
      </c>
      <c r="J351" s="86">
        <f t="shared" si="59"/>
        <v>27699</v>
      </c>
      <c r="K351" s="86">
        <f t="shared" si="59"/>
        <v>0</v>
      </c>
      <c r="L351" s="86">
        <f t="shared" si="59"/>
        <v>350</v>
      </c>
      <c r="M351" s="86">
        <f t="shared" si="59"/>
        <v>0</v>
      </c>
      <c r="N351" s="33"/>
    </row>
    <row r="352" spans="1:14" s="70" customFormat="1" ht="18" customHeight="1">
      <c r="A352" s="80"/>
      <c r="B352" s="57"/>
      <c r="C352" s="82"/>
      <c r="D352" s="82"/>
      <c r="E352" s="82"/>
      <c r="F352" s="82"/>
      <c r="G352" s="82"/>
      <c r="H352" s="82"/>
      <c r="I352" s="82"/>
      <c r="J352" s="82"/>
      <c r="K352" s="82"/>
      <c r="L352" s="82"/>
      <c r="M352" s="82"/>
      <c r="N352" s="33"/>
    </row>
    <row r="353" spans="1:14" s="70" customFormat="1" ht="57">
      <c r="A353" s="80">
        <v>1</v>
      </c>
      <c r="B353" s="96" t="s">
        <v>109</v>
      </c>
      <c r="C353" s="81">
        <v>115406</v>
      </c>
      <c r="D353" s="81">
        <f>C353</f>
        <v>115406</v>
      </c>
      <c r="E353" s="81">
        <v>0</v>
      </c>
      <c r="F353" s="11">
        <f>D353-E353</f>
        <v>115406</v>
      </c>
      <c r="G353" s="81">
        <f>SUM(H353:M353)</f>
        <v>30776</v>
      </c>
      <c r="H353" s="81"/>
      <c r="I353" s="81"/>
      <c r="J353" s="81">
        <v>30776</v>
      </c>
      <c r="K353" s="81"/>
      <c r="L353" s="81">
        <v>0</v>
      </c>
      <c r="M353" s="81"/>
      <c r="N353" s="33" t="s">
        <v>209</v>
      </c>
    </row>
    <row r="354" spans="1:14" s="70" customFormat="1" ht="18" customHeight="1">
      <c r="A354" s="80"/>
      <c r="B354" s="57" t="s">
        <v>386</v>
      </c>
      <c r="C354" s="81">
        <v>101718</v>
      </c>
      <c r="D354" s="81">
        <f>C354</f>
        <v>101718</v>
      </c>
      <c r="E354" s="81">
        <v>0</v>
      </c>
      <c r="F354" s="11">
        <f>D354-E354</f>
        <v>101718</v>
      </c>
      <c r="G354" s="81">
        <f>SUM(H354:M354)</f>
        <v>27699</v>
      </c>
      <c r="H354" s="81"/>
      <c r="I354" s="81"/>
      <c r="J354" s="81">
        <v>27699</v>
      </c>
      <c r="K354" s="81"/>
      <c r="L354" s="81">
        <v>0</v>
      </c>
      <c r="M354" s="81"/>
      <c r="N354" s="33"/>
    </row>
    <row r="355" spans="1:14" s="70" customFormat="1" ht="18" customHeight="1">
      <c r="A355" s="80"/>
      <c r="B355" s="57"/>
      <c r="C355" s="82"/>
      <c r="D355" s="82"/>
      <c r="E355" s="82"/>
      <c r="F355" s="82"/>
      <c r="G355" s="82"/>
      <c r="H355" s="82"/>
      <c r="I355" s="82"/>
      <c r="J355" s="82"/>
      <c r="K355" s="82"/>
      <c r="L355" s="82"/>
      <c r="M355" s="82"/>
      <c r="N355" s="33"/>
    </row>
    <row r="356" spans="1:14" s="70" customFormat="1" ht="18" customHeight="1">
      <c r="A356" s="80"/>
      <c r="B356" s="57"/>
      <c r="C356" s="82"/>
      <c r="D356" s="82"/>
      <c r="E356" s="82"/>
      <c r="F356" s="82"/>
      <c r="G356" s="82"/>
      <c r="H356" s="82"/>
      <c r="I356" s="82"/>
      <c r="J356" s="82"/>
      <c r="K356" s="82"/>
      <c r="L356" s="82"/>
      <c r="M356" s="82"/>
      <c r="N356" s="33"/>
    </row>
    <row r="357" spans="1:14" s="70" customFormat="1" ht="57">
      <c r="A357" s="80">
        <v>2</v>
      </c>
      <c r="B357" s="96" t="s">
        <v>108</v>
      </c>
      <c r="C357" s="81">
        <v>116137</v>
      </c>
      <c r="D357" s="81">
        <f>C357</f>
        <v>116137</v>
      </c>
      <c r="E357" s="81">
        <v>0</v>
      </c>
      <c r="F357" s="11">
        <f>D357-E357</f>
        <v>116137</v>
      </c>
      <c r="G357" s="81">
        <f>SUM(H357:M357)</f>
        <v>150</v>
      </c>
      <c r="H357" s="81"/>
      <c r="I357" s="81"/>
      <c r="J357" s="81">
        <v>0</v>
      </c>
      <c r="K357" s="81"/>
      <c r="L357" s="81">
        <f>100+50</f>
        <v>150</v>
      </c>
      <c r="M357" s="81"/>
      <c r="N357" s="33" t="s">
        <v>209</v>
      </c>
    </row>
    <row r="358" spans="1:14" s="70" customFormat="1" ht="18" customHeight="1">
      <c r="A358" s="80"/>
      <c r="B358" s="57" t="s">
        <v>387</v>
      </c>
      <c r="C358" s="81">
        <v>102348</v>
      </c>
      <c r="D358" s="81">
        <f>C358</f>
        <v>102348</v>
      </c>
      <c r="E358" s="81">
        <v>0</v>
      </c>
      <c r="F358" s="11">
        <f>D358-E358</f>
        <v>102348</v>
      </c>
      <c r="G358" s="81">
        <f>SUM(H358:M358)</f>
        <v>150</v>
      </c>
      <c r="H358" s="81"/>
      <c r="I358" s="81"/>
      <c r="J358" s="81">
        <v>0</v>
      </c>
      <c r="K358" s="81"/>
      <c r="L358" s="81">
        <v>150</v>
      </c>
      <c r="M358" s="81"/>
      <c r="N358" s="33"/>
    </row>
    <row r="359" spans="1:14" s="70" customFormat="1" ht="18" customHeight="1">
      <c r="A359" s="80"/>
      <c r="B359" s="57"/>
      <c r="C359" s="82"/>
      <c r="D359" s="82"/>
      <c r="E359" s="82"/>
      <c r="F359" s="10"/>
      <c r="G359" s="82"/>
      <c r="H359" s="82"/>
      <c r="I359" s="82"/>
      <c r="J359" s="82"/>
      <c r="K359" s="82"/>
      <c r="L359" s="82"/>
      <c r="M359" s="82"/>
      <c r="N359" s="33"/>
    </row>
    <row r="360" spans="1:14" s="70" customFormat="1" ht="18" customHeight="1">
      <c r="A360" s="80"/>
      <c r="B360" s="57"/>
      <c r="C360" s="82"/>
      <c r="D360" s="82"/>
      <c r="E360" s="82"/>
      <c r="F360" s="10"/>
      <c r="G360" s="82"/>
      <c r="H360" s="82"/>
      <c r="I360" s="82"/>
      <c r="J360" s="82"/>
      <c r="K360" s="82"/>
      <c r="L360" s="82"/>
      <c r="M360" s="82"/>
      <c r="N360" s="33"/>
    </row>
    <row r="361" spans="1:14" s="70" customFormat="1" ht="69" customHeight="1">
      <c r="A361" s="80">
        <v>3</v>
      </c>
      <c r="B361" s="96" t="s">
        <v>449</v>
      </c>
      <c r="C361" s="81">
        <v>70196</v>
      </c>
      <c r="D361" s="81">
        <f>C361</f>
        <v>70196</v>
      </c>
      <c r="E361" s="81">
        <v>0</v>
      </c>
      <c r="F361" s="11">
        <f>D361-E361</f>
        <v>70196</v>
      </c>
      <c r="G361" s="81">
        <f>SUM(H361:M361)</f>
        <v>217</v>
      </c>
      <c r="H361" s="81"/>
      <c r="I361" s="81"/>
      <c r="J361" s="81">
        <v>0</v>
      </c>
      <c r="K361" s="81"/>
      <c r="L361" s="81">
        <f>167+50</f>
        <v>217</v>
      </c>
      <c r="M361" s="81"/>
      <c r="N361" s="33" t="s">
        <v>209</v>
      </c>
    </row>
    <row r="362" spans="1:14" s="70" customFormat="1" ht="18" customHeight="1">
      <c r="A362" s="80"/>
      <c r="B362" s="57" t="s">
        <v>447</v>
      </c>
      <c r="C362" s="81">
        <v>61500</v>
      </c>
      <c r="D362" s="81">
        <f>C362</f>
        <v>61500</v>
      </c>
      <c r="E362" s="81">
        <v>0</v>
      </c>
      <c r="F362" s="11">
        <f>D362-E362</f>
        <v>61500</v>
      </c>
      <c r="G362" s="81">
        <f>SUM(H362:M362)</f>
        <v>200</v>
      </c>
      <c r="H362" s="81"/>
      <c r="I362" s="81"/>
      <c r="J362" s="81">
        <v>0</v>
      </c>
      <c r="K362" s="81"/>
      <c r="L362" s="81">
        <v>200</v>
      </c>
      <c r="M362" s="81"/>
      <c r="N362" s="33"/>
    </row>
    <row r="363" spans="1:14" s="70" customFormat="1" ht="12.75" customHeight="1">
      <c r="A363" s="80"/>
      <c r="B363" s="57"/>
      <c r="C363" s="82"/>
      <c r="D363" s="82"/>
      <c r="E363" s="82"/>
      <c r="F363" s="10"/>
      <c r="G363" s="82"/>
      <c r="H363" s="82"/>
      <c r="I363" s="82"/>
      <c r="J363" s="82"/>
      <c r="K363" s="82"/>
      <c r="L363" s="82"/>
      <c r="M363" s="82"/>
      <c r="N363" s="33"/>
    </row>
    <row r="364" spans="1:14" s="70" customFormat="1" ht="12.75" customHeight="1">
      <c r="A364" s="80"/>
      <c r="B364" s="57"/>
      <c r="C364" s="82"/>
      <c r="D364" s="82"/>
      <c r="E364" s="82"/>
      <c r="F364" s="82"/>
      <c r="G364" s="82"/>
      <c r="H364" s="82"/>
      <c r="I364" s="82"/>
      <c r="J364" s="82"/>
      <c r="K364" s="82"/>
      <c r="L364" s="82"/>
      <c r="M364" s="82"/>
      <c r="N364" s="33"/>
    </row>
    <row r="365" spans="1:14" s="70" customFormat="1" ht="17.25" customHeight="1">
      <c r="A365" s="80" t="s">
        <v>175</v>
      </c>
      <c r="B365" s="61" t="s">
        <v>276</v>
      </c>
      <c r="C365" s="86">
        <f>C368+C369</f>
        <v>454</v>
      </c>
      <c r="D365" s="86">
        <f aca="true" t="shared" si="60" ref="D365:M365">D368+D369</f>
        <v>454</v>
      </c>
      <c r="E365" s="86">
        <f t="shared" si="60"/>
        <v>58</v>
      </c>
      <c r="F365" s="86">
        <f t="shared" si="60"/>
        <v>396</v>
      </c>
      <c r="G365" s="86">
        <f t="shared" si="60"/>
        <v>235</v>
      </c>
      <c r="H365" s="86">
        <f t="shared" si="60"/>
        <v>0</v>
      </c>
      <c r="I365" s="86">
        <f t="shared" si="60"/>
        <v>0</v>
      </c>
      <c r="J365" s="86">
        <f t="shared" si="60"/>
        <v>0</v>
      </c>
      <c r="K365" s="86">
        <f t="shared" si="60"/>
        <v>0</v>
      </c>
      <c r="L365" s="86">
        <f t="shared" si="60"/>
        <v>235</v>
      </c>
      <c r="M365" s="86">
        <f t="shared" si="60"/>
        <v>0</v>
      </c>
      <c r="N365" s="33"/>
    </row>
    <row r="366" spans="1:14" s="70" customFormat="1" ht="17.25" customHeight="1">
      <c r="A366" s="80"/>
      <c r="B366" s="62" t="s">
        <v>181</v>
      </c>
      <c r="C366" s="82"/>
      <c r="D366" s="82"/>
      <c r="E366" s="82"/>
      <c r="F366" s="82"/>
      <c r="G366" s="82"/>
      <c r="H366" s="82"/>
      <c r="I366" s="82"/>
      <c r="J366" s="82"/>
      <c r="K366" s="82"/>
      <c r="L366" s="82"/>
      <c r="M366" s="82"/>
      <c r="N366" s="84"/>
    </row>
    <row r="367" spans="1:14" s="70" customFormat="1" ht="20.25" customHeight="1">
      <c r="A367" s="80"/>
      <c r="B367" s="26" t="s">
        <v>178</v>
      </c>
      <c r="C367" s="87"/>
      <c r="D367" s="87"/>
      <c r="E367" s="87"/>
      <c r="F367" s="87"/>
      <c r="G367" s="87"/>
      <c r="H367" s="87"/>
      <c r="I367" s="87"/>
      <c r="J367" s="87"/>
      <c r="K367" s="87"/>
      <c r="L367" s="87"/>
      <c r="M367" s="87"/>
      <c r="N367" s="85"/>
    </row>
    <row r="368" spans="1:14" s="70" customFormat="1" ht="20.25" customHeight="1">
      <c r="A368" s="80"/>
      <c r="B368" s="34" t="s">
        <v>152</v>
      </c>
      <c r="C368" s="87">
        <f>'Studii si proiecte 2022'!D196</f>
        <v>454</v>
      </c>
      <c r="D368" s="87">
        <f>'Studii si proiecte 2022'!E196</f>
        <v>454</v>
      </c>
      <c r="E368" s="87">
        <f>'Studii si proiecte 2022'!F196</f>
        <v>58</v>
      </c>
      <c r="F368" s="87">
        <f>'Studii si proiecte 2022'!G196</f>
        <v>396</v>
      </c>
      <c r="G368" s="87">
        <f>'Studii si proiecte 2022'!H196</f>
        <v>235</v>
      </c>
      <c r="H368" s="87">
        <f>'Studii si proiecte 2022'!I196</f>
        <v>0</v>
      </c>
      <c r="I368" s="87">
        <f>'Studii si proiecte 2022'!J196</f>
        <v>0</v>
      </c>
      <c r="J368" s="87">
        <f>'Studii si proiecte 2022'!K196</f>
        <v>0</v>
      </c>
      <c r="K368" s="87">
        <f>'Studii si proiecte 2022'!L196</f>
        <v>0</v>
      </c>
      <c r="L368" s="87">
        <f>'Studii si proiecte 2022'!M196</f>
        <v>235</v>
      </c>
      <c r="M368" s="87">
        <f>'Studii si proiecte 2022'!N196</f>
        <v>0</v>
      </c>
      <c r="N368" s="85"/>
    </row>
    <row r="369" spans="1:14" s="70" customFormat="1" ht="20.25" customHeight="1">
      <c r="A369" s="72"/>
      <c r="B369" s="34" t="s">
        <v>197</v>
      </c>
      <c r="C369" s="77">
        <f>'Dotari 2022'!D138</f>
        <v>0</v>
      </c>
      <c r="D369" s="77">
        <f>'Dotari 2022'!E138</f>
        <v>0</v>
      </c>
      <c r="E369" s="77">
        <f>'Dotari 2022'!F138</f>
        <v>0</v>
      </c>
      <c r="F369" s="77">
        <f>'Dotari 2022'!G138</f>
        <v>0</v>
      </c>
      <c r="G369" s="77">
        <f>'Dotari 2022'!H138</f>
        <v>0</v>
      </c>
      <c r="H369" s="77">
        <f>'Dotari 2022'!I138</f>
        <v>0</v>
      </c>
      <c r="I369" s="77">
        <f>'Dotari 2022'!J138</f>
        <v>0</v>
      </c>
      <c r="J369" s="77">
        <f>'Dotari 2022'!K138</f>
        <v>0</v>
      </c>
      <c r="K369" s="77">
        <f>'Dotari 2022'!L138</f>
        <v>0</v>
      </c>
      <c r="L369" s="77">
        <f>'Dotari 2022'!M138</f>
        <v>0</v>
      </c>
      <c r="M369" s="77">
        <f>'Dotari 2022'!N138</f>
        <v>0</v>
      </c>
      <c r="N369" s="85"/>
    </row>
    <row r="370" spans="1:14" s="70" customFormat="1" ht="20.25" customHeight="1">
      <c r="A370" s="72"/>
      <c r="B370" s="34"/>
      <c r="C370" s="77"/>
      <c r="D370" s="77"/>
      <c r="E370" s="77"/>
      <c r="F370" s="77"/>
      <c r="G370" s="77"/>
      <c r="H370" s="77"/>
      <c r="I370" s="77"/>
      <c r="J370" s="77"/>
      <c r="K370" s="77"/>
      <c r="L370" s="77"/>
      <c r="M370" s="77"/>
      <c r="N370" s="85"/>
    </row>
    <row r="371" spans="1:14" s="70" customFormat="1" ht="20.25" customHeight="1">
      <c r="A371" s="72"/>
      <c r="B371" s="34"/>
      <c r="C371" s="77"/>
      <c r="D371" s="77"/>
      <c r="E371" s="77"/>
      <c r="F371" s="77"/>
      <c r="G371" s="77"/>
      <c r="H371" s="77"/>
      <c r="I371" s="77"/>
      <c r="J371" s="77"/>
      <c r="K371" s="77"/>
      <c r="L371" s="77"/>
      <c r="M371" s="77"/>
      <c r="N371" s="85"/>
    </row>
    <row r="372" spans="1:14" s="70" customFormat="1" ht="20.25" customHeight="1">
      <c r="A372" s="72"/>
      <c r="B372" s="34"/>
      <c r="C372" s="77"/>
      <c r="D372" s="77"/>
      <c r="E372" s="77"/>
      <c r="F372" s="77"/>
      <c r="G372" s="77"/>
      <c r="H372" s="77"/>
      <c r="I372" s="77"/>
      <c r="J372" s="77"/>
      <c r="K372" s="77"/>
      <c r="L372" s="77"/>
      <c r="M372" s="77"/>
      <c r="N372" s="85"/>
    </row>
    <row r="373" spans="1:14" s="70" customFormat="1" ht="20.25" customHeight="1">
      <c r="A373" s="72"/>
      <c r="B373" s="34"/>
      <c r="C373" s="77"/>
      <c r="D373" s="77"/>
      <c r="E373" s="77"/>
      <c r="F373" s="77"/>
      <c r="G373" s="77"/>
      <c r="H373" s="77"/>
      <c r="I373" s="77"/>
      <c r="J373" s="77"/>
      <c r="K373" s="77"/>
      <c r="L373" s="77"/>
      <c r="M373" s="77"/>
      <c r="N373" s="85"/>
    </row>
    <row r="374" spans="1:14" s="70" customFormat="1" ht="20.25" customHeight="1">
      <c r="A374" s="72"/>
      <c r="B374" s="34"/>
      <c r="C374" s="77"/>
      <c r="D374" s="77"/>
      <c r="E374" s="77"/>
      <c r="F374" s="77"/>
      <c r="G374" s="77"/>
      <c r="H374" s="77"/>
      <c r="I374" s="77"/>
      <c r="J374" s="77"/>
      <c r="K374" s="77"/>
      <c r="L374" s="77"/>
      <c r="M374" s="77"/>
      <c r="N374" s="85"/>
    </row>
    <row r="375" spans="1:14" s="70" customFormat="1" ht="20.25" customHeight="1">
      <c r="A375" s="72"/>
      <c r="B375" s="34"/>
      <c r="C375" s="77"/>
      <c r="D375" s="77"/>
      <c r="E375" s="77"/>
      <c r="F375" s="77"/>
      <c r="G375" s="77"/>
      <c r="H375" s="77"/>
      <c r="I375" s="77"/>
      <c r="J375" s="77"/>
      <c r="K375" s="77"/>
      <c r="L375" s="77"/>
      <c r="M375" s="77"/>
      <c r="N375" s="85"/>
    </row>
    <row r="376" spans="1:14" s="70" customFormat="1" ht="20.25" customHeight="1">
      <c r="A376" s="72"/>
      <c r="B376" s="34"/>
      <c r="C376" s="77"/>
      <c r="D376" s="77"/>
      <c r="E376" s="77"/>
      <c r="F376" s="77"/>
      <c r="G376" s="77"/>
      <c r="H376" s="77"/>
      <c r="I376" s="77"/>
      <c r="J376" s="77"/>
      <c r="K376" s="77"/>
      <c r="L376" s="77"/>
      <c r="M376" s="77"/>
      <c r="N376" s="85"/>
    </row>
    <row r="377" spans="1:14" s="70" customFormat="1" ht="20.25" customHeight="1">
      <c r="A377" s="72"/>
      <c r="B377" s="34"/>
      <c r="C377" s="77"/>
      <c r="D377" s="77"/>
      <c r="E377" s="77"/>
      <c r="F377" s="77"/>
      <c r="G377" s="77"/>
      <c r="H377" s="77"/>
      <c r="I377" s="77"/>
      <c r="J377" s="77"/>
      <c r="K377" s="77"/>
      <c r="L377" s="77"/>
      <c r="M377" s="77"/>
      <c r="N377" s="85"/>
    </row>
    <row r="378" spans="1:14" s="70" customFormat="1" ht="20.25" customHeight="1">
      <c r="A378" s="72"/>
      <c r="B378" s="34"/>
      <c r="C378" s="77"/>
      <c r="D378" s="77"/>
      <c r="E378" s="77"/>
      <c r="F378" s="77"/>
      <c r="G378" s="77"/>
      <c r="H378" s="77"/>
      <c r="I378" s="77"/>
      <c r="J378" s="77"/>
      <c r="K378" s="77"/>
      <c r="L378" s="77"/>
      <c r="M378" s="77"/>
      <c r="N378" s="85"/>
    </row>
    <row r="379" spans="1:14" s="70" customFormat="1" ht="20.25" customHeight="1">
      <c r="A379" s="72"/>
      <c r="B379" s="34"/>
      <c r="C379" s="77"/>
      <c r="D379" s="77"/>
      <c r="E379" s="77"/>
      <c r="F379" s="77"/>
      <c r="G379" s="77"/>
      <c r="H379" s="77"/>
      <c r="I379" s="77"/>
      <c r="J379" s="77"/>
      <c r="K379" s="77"/>
      <c r="L379" s="77"/>
      <c r="M379" s="77"/>
      <c r="N379" s="85"/>
    </row>
    <row r="380" spans="1:14" s="70" customFormat="1" ht="20.25" customHeight="1">
      <c r="A380" s="72"/>
      <c r="B380" s="34"/>
      <c r="C380" s="77"/>
      <c r="D380" s="77"/>
      <c r="E380" s="77"/>
      <c r="F380" s="77"/>
      <c r="G380" s="77"/>
      <c r="H380" s="77"/>
      <c r="I380" s="77"/>
      <c r="J380" s="77"/>
      <c r="K380" s="77"/>
      <c r="L380" s="77"/>
      <c r="M380" s="77"/>
      <c r="N380" s="85"/>
    </row>
    <row r="381" spans="1:14" s="70" customFormat="1" ht="21" customHeight="1">
      <c r="A381" s="72"/>
      <c r="B381" s="34"/>
      <c r="C381" s="77"/>
      <c r="D381" s="77"/>
      <c r="E381" s="77"/>
      <c r="F381" s="77"/>
      <c r="G381" s="77"/>
      <c r="H381" s="77"/>
      <c r="I381" s="77"/>
      <c r="J381" s="77"/>
      <c r="K381" s="77"/>
      <c r="L381" s="77"/>
      <c r="M381" s="77"/>
      <c r="N381" s="85"/>
    </row>
    <row r="382" spans="1:14" s="70" customFormat="1" ht="30.75" customHeight="1">
      <c r="A382" s="21"/>
      <c r="B382" s="213" t="s">
        <v>249</v>
      </c>
      <c r="C382" s="23" t="s">
        <v>245</v>
      </c>
      <c r="D382" s="24"/>
      <c r="E382" s="24"/>
      <c r="F382" s="24"/>
      <c r="G382" s="10"/>
      <c r="H382" s="10"/>
      <c r="I382" s="10"/>
      <c r="J382" s="10"/>
      <c r="K382" s="10"/>
      <c r="L382" s="10"/>
      <c r="M382" s="10" t="s">
        <v>185</v>
      </c>
      <c r="N382" s="85"/>
    </row>
    <row r="383" spans="1:14" s="70" customFormat="1" ht="22.5" customHeight="1">
      <c r="A383" s="25"/>
      <c r="B383" s="26" t="s">
        <v>178</v>
      </c>
      <c r="C383" s="27">
        <f aca="true" t="shared" si="61" ref="C383:M383">C386+C465+C524</f>
        <v>413646</v>
      </c>
      <c r="D383" s="27">
        <f t="shared" si="61"/>
        <v>401110</v>
      </c>
      <c r="E383" s="27">
        <f t="shared" si="61"/>
        <v>27075</v>
      </c>
      <c r="F383" s="27">
        <f t="shared" si="61"/>
        <v>374035</v>
      </c>
      <c r="G383" s="27">
        <f t="shared" si="61"/>
        <v>265312</v>
      </c>
      <c r="H383" s="27">
        <f t="shared" si="61"/>
        <v>0</v>
      </c>
      <c r="I383" s="27">
        <f t="shared" si="61"/>
        <v>4258</v>
      </c>
      <c r="J383" s="27">
        <f t="shared" si="61"/>
        <v>232304</v>
      </c>
      <c r="K383" s="27">
        <f t="shared" si="61"/>
        <v>0</v>
      </c>
      <c r="L383" s="27">
        <f t="shared" si="61"/>
        <v>28750</v>
      </c>
      <c r="M383" s="27">
        <f t="shared" si="61"/>
        <v>0</v>
      </c>
      <c r="N383" s="85"/>
    </row>
    <row r="384" spans="1:14" s="70" customFormat="1" ht="22.5" customHeight="1">
      <c r="A384" s="28"/>
      <c r="B384" s="29"/>
      <c r="C384" s="27">
        <f aca="true" t="shared" si="62" ref="C384:M384">C387+C466+C525</f>
        <v>258774</v>
      </c>
      <c r="D384" s="27">
        <f t="shared" si="62"/>
        <v>245288</v>
      </c>
      <c r="E384" s="27">
        <f t="shared" si="62"/>
        <v>7732</v>
      </c>
      <c r="F384" s="27">
        <f t="shared" si="62"/>
        <v>237556</v>
      </c>
      <c r="G384" s="27">
        <f t="shared" si="62"/>
        <v>146022</v>
      </c>
      <c r="H384" s="27">
        <f t="shared" si="62"/>
        <v>0</v>
      </c>
      <c r="I384" s="27">
        <f t="shared" si="62"/>
        <v>0</v>
      </c>
      <c r="J384" s="27">
        <f t="shared" si="62"/>
        <v>137975</v>
      </c>
      <c r="K384" s="27">
        <f t="shared" si="62"/>
        <v>0</v>
      </c>
      <c r="L384" s="27">
        <f t="shared" si="62"/>
        <v>8047</v>
      </c>
      <c r="M384" s="27">
        <f t="shared" si="62"/>
        <v>0</v>
      </c>
      <c r="N384" s="33"/>
    </row>
    <row r="385" spans="1:14" s="70" customFormat="1" ht="24.75" customHeight="1">
      <c r="A385" s="28"/>
      <c r="B385" s="29"/>
      <c r="C385" s="75"/>
      <c r="D385" s="75"/>
      <c r="E385" s="75"/>
      <c r="F385" s="75"/>
      <c r="G385" s="75"/>
      <c r="H385" s="75"/>
      <c r="I385" s="75"/>
      <c r="J385" s="75"/>
      <c r="K385" s="75"/>
      <c r="L385" s="75"/>
      <c r="M385" s="75"/>
      <c r="N385" s="85"/>
    </row>
    <row r="386" spans="1:14" s="70" customFormat="1" ht="20.25" customHeight="1">
      <c r="A386" s="28" t="s">
        <v>170</v>
      </c>
      <c r="B386" s="61" t="s">
        <v>171</v>
      </c>
      <c r="C386" s="11">
        <f>C389+C393+C397+C401+C405+C409+C413+C417+C421+C425+C429+C433+C437+C441+C445+C449+C453+C457+C461</f>
        <v>262443</v>
      </c>
      <c r="D386" s="11">
        <f aca="true" t="shared" si="63" ref="D386:M386">D389+D393+D397+D401+D405+D409+D413+D417+D421+D425+D429+D433+D437+D441+D445+D449+D453+D457+D461</f>
        <v>249907</v>
      </c>
      <c r="E386" s="11">
        <f t="shared" si="63"/>
        <v>21728</v>
      </c>
      <c r="F386" s="11">
        <f t="shared" si="63"/>
        <v>228179</v>
      </c>
      <c r="G386" s="11">
        <f t="shared" si="63"/>
        <v>154543</v>
      </c>
      <c r="H386" s="11">
        <f t="shared" si="63"/>
        <v>0</v>
      </c>
      <c r="I386" s="11">
        <f t="shared" si="63"/>
        <v>0</v>
      </c>
      <c r="J386" s="11">
        <f t="shared" si="63"/>
        <v>152020</v>
      </c>
      <c r="K386" s="11">
        <f t="shared" si="63"/>
        <v>0</v>
      </c>
      <c r="L386" s="11">
        <f t="shared" si="63"/>
        <v>2523</v>
      </c>
      <c r="M386" s="11">
        <f t="shared" si="63"/>
        <v>0</v>
      </c>
      <c r="N386" s="33"/>
    </row>
    <row r="387" spans="1:14" s="70" customFormat="1" ht="20.25" customHeight="1">
      <c r="A387" s="28"/>
      <c r="B387" s="62" t="s">
        <v>172</v>
      </c>
      <c r="C387" s="11">
        <f>C390+C394+C398+C402+C406+C410+C414+C418+C422+C426+C430+C434+C438+C442+C446+C450+C454+C458+C462</f>
        <v>215838</v>
      </c>
      <c r="D387" s="11">
        <f aca="true" t="shared" si="64" ref="D387:M387">D390+D394+D398+D402+D406+D410+D414+D418+D422+D426+D430+D434+D438+D442+D446+D450+D454+D458+D462</f>
        <v>202352</v>
      </c>
      <c r="E387" s="11">
        <f t="shared" si="64"/>
        <v>7732</v>
      </c>
      <c r="F387" s="11">
        <f t="shared" si="64"/>
        <v>194620</v>
      </c>
      <c r="G387" s="11">
        <f t="shared" si="64"/>
        <v>134006</v>
      </c>
      <c r="H387" s="11">
        <f t="shared" si="64"/>
        <v>0</v>
      </c>
      <c r="I387" s="11">
        <f t="shared" si="64"/>
        <v>0</v>
      </c>
      <c r="J387" s="11">
        <f t="shared" si="64"/>
        <v>132506</v>
      </c>
      <c r="K387" s="11">
        <f t="shared" si="64"/>
        <v>0</v>
      </c>
      <c r="L387" s="11">
        <f t="shared" si="64"/>
        <v>1500</v>
      </c>
      <c r="M387" s="11">
        <f t="shared" si="64"/>
        <v>0</v>
      </c>
      <c r="N387" s="85"/>
    </row>
    <row r="388" spans="1:14" s="70" customFormat="1" ht="30" customHeight="1">
      <c r="A388" s="28"/>
      <c r="B388" s="57" t="s">
        <v>206</v>
      </c>
      <c r="C388" s="10"/>
      <c r="D388" s="10"/>
      <c r="E388" s="10"/>
      <c r="F388" s="10"/>
      <c r="G388" s="10"/>
      <c r="H388" s="10"/>
      <c r="I388" s="10"/>
      <c r="J388" s="10"/>
      <c r="K388" s="10"/>
      <c r="L388" s="10"/>
      <c r="M388" s="10"/>
      <c r="N388" s="85"/>
    </row>
    <row r="389" spans="1:14" s="70" customFormat="1" ht="42.75">
      <c r="A389" s="83">
        <v>1</v>
      </c>
      <c r="B389" s="92" t="s">
        <v>300</v>
      </c>
      <c r="C389" s="11">
        <v>85967</v>
      </c>
      <c r="D389" s="11">
        <v>80383</v>
      </c>
      <c r="E389" s="11">
        <v>3515</v>
      </c>
      <c r="F389" s="11">
        <f>D389-E389</f>
        <v>76868</v>
      </c>
      <c r="G389" s="81">
        <f>SUM(H389:M389)</f>
        <v>67057</v>
      </c>
      <c r="H389" s="11"/>
      <c r="I389" s="11"/>
      <c r="J389" s="11">
        <v>67057</v>
      </c>
      <c r="K389" s="11"/>
      <c r="L389" s="11">
        <v>0</v>
      </c>
      <c r="M389" s="71">
        <v>0</v>
      </c>
      <c r="N389" s="33" t="s">
        <v>205</v>
      </c>
    </row>
    <row r="390" spans="1:14" s="70" customFormat="1" ht="33" customHeight="1">
      <c r="A390" s="83"/>
      <c r="B390" s="203" t="s">
        <v>396</v>
      </c>
      <c r="C390" s="11">
        <v>77031</v>
      </c>
      <c r="D390" s="11">
        <v>69939</v>
      </c>
      <c r="E390" s="11">
        <v>3220</v>
      </c>
      <c r="F390" s="11">
        <f>D390-E390</f>
        <v>66719</v>
      </c>
      <c r="G390" s="81">
        <f>SUM(H390:M390)</f>
        <v>62568</v>
      </c>
      <c r="H390" s="11"/>
      <c r="I390" s="11"/>
      <c r="J390" s="11">
        <v>62568</v>
      </c>
      <c r="K390" s="11"/>
      <c r="L390" s="11">
        <v>0</v>
      </c>
      <c r="M390" s="71">
        <v>0</v>
      </c>
      <c r="N390" s="33"/>
    </row>
    <row r="391" spans="1:14" s="70" customFormat="1" ht="21" customHeight="1">
      <c r="A391" s="83"/>
      <c r="B391" s="203"/>
      <c r="C391" s="10"/>
      <c r="D391" s="10"/>
      <c r="E391" s="10"/>
      <c r="F391" s="10"/>
      <c r="G391" s="82"/>
      <c r="H391" s="10"/>
      <c r="I391" s="10"/>
      <c r="J391" s="10"/>
      <c r="K391" s="10"/>
      <c r="L391" s="10"/>
      <c r="M391" s="60"/>
      <c r="N391" s="33"/>
    </row>
    <row r="392" spans="1:14" s="70" customFormat="1" ht="15.75">
      <c r="A392" s="83"/>
      <c r="B392" s="93"/>
      <c r="C392" s="10"/>
      <c r="D392" s="10"/>
      <c r="E392" s="10"/>
      <c r="F392" s="10"/>
      <c r="G392" s="82"/>
      <c r="H392" s="10"/>
      <c r="I392" s="10"/>
      <c r="J392" s="10"/>
      <c r="K392" s="10"/>
      <c r="L392" s="10"/>
      <c r="M392" s="60"/>
      <c r="N392" s="33"/>
    </row>
    <row r="393" spans="1:14" s="70" customFormat="1" ht="40.5" customHeight="1">
      <c r="A393" s="83">
        <v>2</v>
      </c>
      <c r="B393" s="92" t="s">
        <v>304</v>
      </c>
      <c r="C393" s="11">
        <v>89855</v>
      </c>
      <c r="D393" s="11">
        <v>86638</v>
      </c>
      <c r="E393" s="11">
        <v>13057</v>
      </c>
      <c r="F393" s="11">
        <f>D393-E393</f>
        <v>73581</v>
      </c>
      <c r="G393" s="81">
        <f>SUM(H393:M393)</f>
        <v>47405</v>
      </c>
      <c r="H393" s="11"/>
      <c r="I393" s="11"/>
      <c r="J393" s="11">
        <v>47405</v>
      </c>
      <c r="K393" s="11"/>
      <c r="L393" s="11">
        <v>0</v>
      </c>
      <c r="M393" s="71">
        <v>0</v>
      </c>
      <c r="N393" s="33" t="s">
        <v>205</v>
      </c>
    </row>
    <row r="394" spans="1:14" s="70" customFormat="1" ht="24" customHeight="1">
      <c r="A394" s="83"/>
      <c r="B394" s="203" t="s">
        <v>394</v>
      </c>
      <c r="C394" s="11">
        <v>69490</v>
      </c>
      <c r="D394" s="11">
        <v>65678</v>
      </c>
      <c r="E394" s="11">
        <v>540</v>
      </c>
      <c r="F394" s="11">
        <f>D394-E394</f>
        <v>65138</v>
      </c>
      <c r="G394" s="81">
        <f>SUM(H394:M394)</f>
        <v>35938</v>
      </c>
      <c r="H394" s="11"/>
      <c r="I394" s="11"/>
      <c r="J394" s="11">
        <v>35938</v>
      </c>
      <c r="K394" s="11"/>
      <c r="L394" s="11">
        <v>0</v>
      </c>
      <c r="M394" s="71">
        <v>0</v>
      </c>
      <c r="N394" s="33"/>
    </row>
    <row r="395" spans="1:14" s="70" customFormat="1" ht="17.25" customHeight="1">
      <c r="A395" s="83"/>
      <c r="B395" s="203"/>
      <c r="C395" s="10"/>
      <c r="D395" s="10"/>
      <c r="E395" s="10"/>
      <c r="F395" s="10"/>
      <c r="G395" s="82"/>
      <c r="H395" s="10"/>
      <c r="I395" s="10"/>
      <c r="J395" s="10"/>
      <c r="K395" s="10"/>
      <c r="L395" s="10"/>
      <c r="M395" s="60"/>
      <c r="N395" s="33"/>
    </row>
    <row r="396" spans="1:14" s="70" customFormat="1" ht="17.25" customHeight="1">
      <c r="A396" s="83"/>
      <c r="B396" s="203"/>
      <c r="C396" s="10"/>
      <c r="D396" s="10"/>
      <c r="E396" s="10"/>
      <c r="F396" s="10"/>
      <c r="G396" s="82"/>
      <c r="H396" s="10"/>
      <c r="I396" s="10"/>
      <c r="J396" s="10"/>
      <c r="K396" s="10"/>
      <c r="L396" s="10"/>
      <c r="M396" s="60"/>
      <c r="N396" s="33"/>
    </row>
    <row r="397" spans="1:14" s="70" customFormat="1" ht="42" customHeight="1">
      <c r="A397" s="83">
        <v>3</v>
      </c>
      <c r="B397" s="92" t="s">
        <v>306</v>
      </c>
      <c r="C397" s="11">
        <v>69801</v>
      </c>
      <c r="D397" s="11">
        <v>66066</v>
      </c>
      <c r="E397" s="11">
        <v>164</v>
      </c>
      <c r="F397" s="11">
        <f>D397-E397</f>
        <v>65902</v>
      </c>
      <c r="G397" s="81">
        <f>SUM(H397:M397)</f>
        <v>37558</v>
      </c>
      <c r="H397" s="11"/>
      <c r="I397" s="11"/>
      <c r="J397" s="11">
        <v>37558</v>
      </c>
      <c r="K397" s="11"/>
      <c r="L397" s="11">
        <v>0</v>
      </c>
      <c r="M397" s="71">
        <v>0</v>
      </c>
      <c r="N397" s="33" t="s">
        <v>205</v>
      </c>
    </row>
    <row r="398" spans="1:14" s="70" customFormat="1" ht="36" customHeight="1">
      <c r="A398" s="83"/>
      <c r="B398" s="203" t="s">
        <v>440</v>
      </c>
      <c r="C398" s="11">
        <v>54671</v>
      </c>
      <c r="D398" s="11">
        <v>52089</v>
      </c>
      <c r="E398" s="11">
        <v>0</v>
      </c>
      <c r="F398" s="11">
        <f>D398-E398</f>
        <v>52089</v>
      </c>
      <c r="G398" s="81">
        <f>SUM(H398:M398)</f>
        <v>34000</v>
      </c>
      <c r="H398" s="11"/>
      <c r="I398" s="11"/>
      <c r="J398" s="11">
        <v>34000</v>
      </c>
      <c r="K398" s="11"/>
      <c r="L398" s="11">
        <v>0</v>
      </c>
      <c r="M398" s="71">
        <v>0</v>
      </c>
      <c r="N398" s="33"/>
    </row>
    <row r="399" spans="1:14" s="70" customFormat="1" ht="17.25" customHeight="1">
      <c r="A399" s="83"/>
      <c r="B399" s="203"/>
      <c r="C399" s="10"/>
      <c r="D399" s="10"/>
      <c r="E399" s="10"/>
      <c r="F399" s="10"/>
      <c r="G399" s="82"/>
      <c r="H399" s="10"/>
      <c r="I399" s="10"/>
      <c r="J399" s="10"/>
      <c r="K399" s="10"/>
      <c r="L399" s="10"/>
      <c r="M399" s="60"/>
      <c r="N399" s="33"/>
    </row>
    <row r="400" spans="1:14" s="70" customFormat="1" ht="17.25" customHeight="1">
      <c r="A400" s="83"/>
      <c r="B400" s="203"/>
      <c r="C400" s="10"/>
      <c r="D400" s="10"/>
      <c r="E400" s="10"/>
      <c r="F400" s="10"/>
      <c r="G400" s="82"/>
      <c r="H400" s="10"/>
      <c r="I400" s="10"/>
      <c r="J400" s="10"/>
      <c r="K400" s="10"/>
      <c r="L400" s="10"/>
      <c r="M400" s="60"/>
      <c r="N400" s="33"/>
    </row>
    <row r="401" spans="1:14" s="70" customFormat="1" ht="41.25" customHeight="1">
      <c r="A401" s="83">
        <v>4</v>
      </c>
      <c r="B401" s="357" t="s">
        <v>6</v>
      </c>
      <c r="C401" s="11">
        <v>13836</v>
      </c>
      <c r="D401" s="11">
        <v>13836</v>
      </c>
      <c r="E401" s="11">
        <v>2126</v>
      </c>
      <c r="F401" s="11">
        <f>D401-E401</f>
        <v>11710</v>
      </c>
      <c r="G401" s="81">
        <f>SUM(H401:M401)</f>
        <v>2498</v>
      </c>
      <c r="H401" s="11"/>
      <c r="I401" s="11"/>
      <c r="J401" s="11">
        <v>0</v>
      </c>
      <c r="K401" s="11"/>
      <c r="L401" s="11">
        <v>2498</v>
      </c>
      <c r="M401" s="71">
        <v>0</v>
      </c>
      <c r="N401" s="33" t="s">
        <v>205</v>
      </c>
    </row>
    <row r="402" spans="1:14" s="70" customFormat="1" ht="36" customHeight="1">
      <c r="A402" s="83"/>
      <c r="B402" s="358" t="s">
        <v>7</v>
      </c>
      <c r="C402" s="11">
        <v>12128</v>
      </c>
      <c r="D402" s="11">
        <v>12128</v>
      </c>
      <c r="E402" s="11">
        <v>1515</v>
      </c>
      <c r="F402" s="11">
        <f>D402-E402</f>
        <v>10613</v>
      </c>
      <c r="G402" s="81">
        <f>SUM(H402:M402)</f>
        <v>1500</v>
      </c>
      <c r="H402" s="11"/>
      <c r="I402" s="11"/>
      <c r="J402" s="11">
        <v>0</v>
      </c>
      <c r="K402" s="11"/>
      <c r="L402" s="11">
        <v>1500</v>
      </c>
      <c r="M402" s="71">
        <v>0</v>
      </c>
      <c r="N402" s="33"/>
    </row>
    <row r="403" spans="1:14" s="70" customFormat="1" ht="15.75" customHeight="1">
      <c r="A403" s="83"/>
      <c r="B403" s="203"/>
      <c r="C403" s="10"/>
      <c r="D403" s="10"/>
      <c r="E403" s="10"/>
      <c r="F403" s="10"/>
      <c r="G403" s="82"/>
      <c r="H403" s="10"/>
      <c r="I403" s="10"/>
      <c r="J403" s="10"/>
      <c r="K403" s="10"/>
      <c r="L403" s="10"/>
      <c r="M403" s="60"/>
      <c r="N403" s="33"/>
    </row>
    <row r="404" spans="1:14" s="70" customFormat="1" ht="15.75" customHeight="1">
      <c r="A404" s="83"/>
      <c r="B404" s="203"/>
      <c r="C404" s="10"/>
      <c r="D404" s="10"/>
      <c r="E404" s="10"/>
      <c r="F404" s="10"/>
      <c r="G404" s="82"/>
      <c r="H404" s="10"/>
      <c r="I404" s="10"/>
      <c r="J404" s="10"/>
      <c r="K404" s="10"/>
      <c r="L404" s="10"/>
      <c r="M404" s="60"/>
      <c r="N404" s="33"/>
    </row>
    <row r="405" spans="1:14" s="70" customFormat="1" ht="36" customHeight="1">
      <c r="A405" s="83">
        <v>5</v>
      </c>
      <c r="B405" s="92" t="s">
        <v>547</v>
      </c>
      <c r="C405" s="11">
        <v>281</v>
      </c>
      <c r="D405" s="11">
        <v>281</v>
      </c>
      <c r="E405" s="11">
        <v>248</v>
      </c>
      <c r="F405" s="11">
        <f>D405-E405</f>
        <v>33</v>
      </c>
      <c r="G405" s="81">
        <f>SUM(H405:M405)</f>
        <v>2</v>
      </c>
      <c r="H405" s="11"/>
      <c r="I405" s="11"/>
      <c r="J405" s="11">
        <v>0</v>
      </c>
      <c r="K405" s="11"/>
      <c r="L405" s="11">
        <v>2</v>
      </c>
      <c r="M405" s="71">
        <v>0</v>
      </c>
      <c r="N405" s="33" t="s">
        <v>205</v>
      </c>
    </row>
    <row r="406" spans="1:14" s="70" customFormat="1" ht="36" customHeight="1">
      <c r="A406" s="83"/>
      <c r="B406" s="203" t="s">
        <v>548</v>
      </c>
      <c r="C406" s="11">
        <v>240</v>
      </c>
      <c r="D406" s="11">
        <v>240</v>
      </c>
      <c r="E406" s="11">
        <v>229</v>
      </c>
      <c r="F406" s="11">
        <f>D406-E406</f>
        <v>11</v>
      </c>
      <c r="G406" s="81">
        <f>SUM(H406:M406)</f>
        <v>0</v>
      </c>
      <c r="H406" s="11"/>
      <c r="I406" s="11"/>
      <c r="J406" s="11">
        <v>0</v>
      </c>
      <c r="K406" s="11"/>
      <c r="L406" s="11">
        <v>0</v>
      </c>
      <c r="M406" s="71">
        <v>0</v>
      </c>
      <c r="N406" s="33"/>
    </row>
    <row r="407" spans="1:14" s="70" customFormat="1" ht="20.25" customHeight="1">
      <c r="A407" s="83"/>
      <c r="B407" s="203"/>
      <c r="C407" s="10"/>
      <c r="D407" s="10"/>
      <c r="E407" s="10"/>
      <c r="F407" s="10"/>
      <c r="G407" s="82"/>
      <c r="H407" s="10"/>
      <c r="I407" s="10"/>
      <c r="J407" s="10"/>
      <c r="K407" s="10"/>
      <c r="L407" s="10"/>
      <c r="M407" s="60"/>
      <c r="N407" s="33"/>
    </row>
    <row r="408" spans="1:14" s="70" customFormat="1" ht="20.25" customHeight="1">
      <c r="A408" s="83"/>
      <c r="B408" s="203"/>
      <c r="C408" s="10"/>
      <c r="D408" s="10"/>
      <c r="E408" s="10"/>
      <c r="F408" s="10"/>
      <c r="G408" s="82"/>
      <c r="H408" s="10"/>
      <c r="I408" s="10"/>
      <c r="J408" s="10"/>
      <c r="K408" s="10"/>
      <c r="L408" s="10"/>
      <c r="M408" s="60"/>
      <c r="N408" s="33"/>
    </row>
    <row r="409" spans="1:14" s="70" customFormat="1" ht="25.5" customHeight="1">
      <c r="A409" s="83">
        <v>6</v>
      </c>
      <c r="B409" s="92" t="s">
        <v>549</v>
      </c>
      <c r="C409" s="11">
        <v>157</v>
      </c>
      <c r="D409" s="11">
        <v>157</v>
      </c>
      <c r="E409" s="11">
        <v>99</v>
      </c>
      <c r="F409" s="11">
        <f>D409-E409</f>
        <v>58</v>
      </c>
      <c r="G409" s="81">
        <f>SUM(H409:M409)</f>
        <v>1</v>
      </c>
      <c r="H409" s="11"/>
      <c r="I409" s="11"/>
      <c r="J409" s="11">
        <v>0</v>
      </c>
      <c r="K409" s="11"/>
      <c r="L409" s="11">
        <v>1</v>
      </c>
      <c r="M409" s="71">
        <v>0</v>
      </c>
      <c r="N409" s="33" t="s">
        <v>205</v>
      </c>
    </row>
    <row r="410" spans="1:14" s="70" customFormat="1" ht="25.5" customHeight="1">
      <c r="A410" s="83"/>
      <c r="B410" s="203" t="s">
        <v>548</v>
      </c>
      <c r="C410" s="11">
        <v>134</v>
      </c>
      <c r="D410" s="11">
        <v>134</v>
      </c>
      <c r="E410" s="11">
        <v>89</v>
      </c>
      <c r="F410" s="11">
        <f>D410-E410</f>
        <v>45</v>
      </c>
      <c r="G410" s="81">
        <f>SUM(H410:M410)</f>
        <v>0</v>
      </c>
      <c r="H410" s="11"/>
      <c r="I410" s="11"/>
      <c r="J410" s="11">
        <v>0</v>
      </c>
      <c r="K410" s="11"/>
      <c r="L410" s="11">
        <v>0</v>
      </c>
      <c r="M410" s="71">
        <v>0</v>
      </c>
      <c r="N410" s="33"/>
    </row>
    <row r="411" spans="1:14" s="70" customFormat="1" ht="15" customHeight="1">
      <c r="A411" s="83"/>
      <c r="B411" s="203"/>
      <c r="C411" s="10"/>
      <c r="D411" s="10"/>
      <c r="E411" s="10"/>
      <c r="F411" s="10"/>
      <c r="G411" s="82"/>
      <c r="H411" s="10"/>
      <c r="I411" s="10"/>
      <c r="J411" s="10"/>
      <c r="K411" s="10"/>
      <c r="L411" s="10"/>
      <c r="M411" s="60"/>
      <c r="N411" s="33"/>
    </row>
    <row r="412" spans="1:14" s="70" customFormat="1" ht="15" customHeight="1">
      <c r="A412" s="83"/>
      <c r="B412" s="203"/>
      <c r="C412" s="10"/>
      <c r="D412" s="10"/>
      <c r="E412" s="10"/>
      <c r="F412" s="10"/>
      <c r="G412" s="82"/>
      <c r="H412" s="10"/>
      <c r="I412" s="10"/>
      <c r="J412" s="10"/>
      <c r="K412" s="10"/>
      <c r="L412" s="10"/>
      <c r="M412" s="60"/>
      <c r="N412" s="33"/>
    </row>
    <row r="413" spans="1:14" s="70" customFormat="1" ht="25.5" customHeight="1">
      <c r="A413" s="83">
        <v>7</v>
      </c>
      <c r="B413" s="92" t="s">
        <v>350</v>
      </c>
      <c r="C413" s="11">
        <v>199</v>
      </c>
      <c r="D413" s="11">
        <v>199</v>
      </c>
      <c r="E413" s="11">
        <v>196</v>
      </c>
      <c r="F413" s="11">
        <f>D413-E413</f>
        <v>3</v>
      </c>
      <c r="G413" s="81">
        <f>SUM(H413:M413)</f>
        <v>2</v>
      </c>
      <c r="H413" s="11"/>
      <c r="I413" s="11"/>
      <c r="J413" s="11">
        <v>0</v>
      </c>
      <c r="K413" s="11"/>
      <c r="L413" s="11">
        <v>2</v>
      </c>
      <c r="M413" s="71">
        <v>0</v>
      </c>
      <c r="N413" s="33" t="s">
        <v>205</v>
      </c>
    </row>
    <row r="414" spans="1:14" s="70" customFormat="1" ht="25.5" customHeight="1">
      <c r="A414" s="83"/>
      <c r="B414" s="203" t="s">
        <v>362</v>
      </c>
      <c r="C414" s="11">
        <v>167</v>
      </c>
      <c r="D414" s="11">
        <v>167</v>
      </c>
      <c r="E414" s="11">
        <v>167</v>
      </c>
      <c r="F414" s="11">
        <f>D414-E414</f>
        <v>0</v>
      </c>
      <c r="G414" s="81">
        <f>SUM(H414:M414)</f>
        <v>0</v>
      </c>
      <c r="H414" s="11"/>
      <c r="I414" s="11"/>
      <c r="J414" s="11">
        <v>0</v>
      </c>
      <c r="K414" s="11"/>
      <c r="L414" s="11">
        <v>0</v>
      </c>
      <c r="M414" s="71">
        <v>0</v>
      </c>
      <c r="N414" s="33"/>
    </row>
    <row r="415" spans="1:14" s="70" customFormat="1" ht="16.5" customHeight="1">
      <c r="A415" s="83"/>
      <c r="B415" s="203"/>
      <c r="C415" s="10"/>
      <c r="D415" s="10"/>
      <c r="E415" s="10"/>
      <c r="F415" s="10"/>
      <c r="G415" s="82"/>
      <c r="H415" s="10"/>
      <c r="I415" s="10"/>
      <c r="J415" s="10"/>
      <c r="K415" s="10"/>
      <c r="L415" s="10"/>
      <c r="M415" s="60"/>
      <c r="N415" s="33"/>
    </row>
    <row r="416" spans="1:14" s="70" customFormat="1" ht="16.5" customHeight="1">
      <c r="A416" s="83"/>
      <c r="B416" s="203"/>
      <c r="C416" s="10"/>
      <c r="D416" s="10"/>
      <c r="E416" s="10"/>
      <c r="F416" s="10"/>
      <c r="G416" s="82"/>
      <c r="H416" s="10"/>
      <c r="I416" s="10"/>
      <c r="J416" s="10"/>
      <c r="K416" s="10"/>
      <c r="L416" s="10"/>
      <c r="M416" s="60"/>
      <c r="N416" s="33"/>
    </row>
    <row r="417" spans="1:14" s="70" customFormat="1" ht="25.5" customHeight="1">
      <c r="A417" s="83">
        <v>8</v>
      </c>
      <c r="B417" s="92" t="s">
        <v>364</v>
      </c>
      <c r="C417" s="11">
        <v>145</v>
      </c>
      <c r="D417" s="11">
        <v>145</v>
      </c>
      <c r="E417" s="11">
        <v>143</v>
      </c>
      <c r="F417" s="11">
        <f>D417-E417</f>
        <v>2</v>
      </c>
      <c r="G417" s="81">
        <f>SUM(H417:M417)</f>
        <v>1</v>
      </c>
      <c r="H417" s="11"/>
      <c r="I417" s="11"/>
      <c r="J417" s="11">
        <v>0</v>
      </c>
      <c r="K417" s="11"/>
      <c r="L417" s="11">
        <v>1</v>
      </c>
      <c r="M417" s="71">
        <v>0</v>
      </c>
      <c r="N417" s="33" t="s">
        <v>205</v>
      </c>
    </row>
    <row r="418" spans="1:14" s="70" customFormat="1" ht="25.5" customHeight="1">
      <c r="A418" s="83"/>
      <c r="B418" s="203" t="s">
        <v>362</v>
      </c>
      <c r="C418" s="11">
        <v>121</v>
      </c>
      <c r="D418" s="11">
        <v>121</v>
      </c>
      <c r="E418" s="11">
        <v>120</v>
      </c>
      <c r="F418" s="11">
        <f>D418-E418</f>
        <v>1</v>
      </c>
      <c r="G418" s="81">
        <f>SUM(H418:M418)</f>
        <v>0</v>
      </c>
      <c r="H418" s="11"/>
      <c r="I418" s="11"/>
      <c r="J418" s="11">
        <v>0</v>
      </c>
      <c r="K418" s="11"/>
      <c r="L418" s="11">
        <v>0</v>
      </c>
      <c r="M418" s="71">
        <v>0</v>
      </c>
      <c r="N418" s="33"/>
    </row>
    <row r="419" spans="1:14" s="70" customFormat="1" ht="19.5" customHeight="1">
      <c r="A419" s="83"/>
      <c r="B419" s="203"/>
      <c r="C419" s="10"/>
      <c r="D419" s="10"/>
      <c r="E419" s="10"/>
      <c r="F419" s="10"/>
      <c r="G419" s="82"/>
      <c r="H419" s="10"/>
      <c r="I419" s="10"/>
      <c r="J419" s="10"/>
      <c r="K419" s="10"/>
      <c r="L419" s="10"/>
      <c r="M419" s="60"/>
      <c r="N419" s="33"/>
    </row>
    <row r="420" spans="1:14" s="70" customFormat="1" ht="26.25" customHeight="1">
      <c r="A420" s="83"/>
      <c r="B420" s="203"/>
      <c r="C420" s="10"/>
      <c r="D420" s="10"/>
      <c r="E420" s="10"/>
      <c r="F420" s="10"/>
      <c r="G420" s="82"/>
      <c r="H420" s="10"/>
      <c r="I420" s="10"/>
      <c r="J420" s="10"/>
      <c r="K420" s="10"/>
      <c r="L420" s="10"/>
      <c r="M420" s="60"/>
      <c r="N420" s="33"/>
    </row>
    <row r="421" spans="1:14" s="70" customFormat="1" ht="26.25" customHeight="1">
      <c r="A421" s="83">
        <v>9</v>
      </c>
      <c r="B421" s="92" t="s">
        <v>351</v>
      </c>
      <c r="C421" s="11">
        <v>254</v>
      </c>
      <c r="D421" s="11">
        <v>254</v>
      </c>
      <c r="E421" s="11">
        <v>251</v>
      </c>
      <c r="F421" s="11">
        <f>D421-E421</f>
        <v>3</v>
      </c>
      <c r="G421" s="81">
        <f>SUM(H421:M421)</f>
        <v>2</v>
      </c>
      <c r="H421" s="11"/>
      <c r="I421" s="11"/>
      <c r="J421" s="11">
        <v>0</v>
      </c>
      <c r="K421" s="11"/>
      <c r="L421" s="11">
        <v>2</v>
      </c>
      <c r="M421" s="71">
        <v>0</v>
      </c>
      <c r="N421" s="33" t="s">
        <v>205</v>
      </c>
    </row>
    <row r="422" spans="1:14" s="70" customFormat="1" ht="26.25" customHeight="1">
      <c r="A422" s="83"/>
      <c r="B422" s="203" t="s">
        <v>362</v>
      </c>
      <c r="C422" s="11">
        <v>215</v>
      </c>
      <c r="D422" s="11">
        <v>215</v>
      </c>
      <c r="E422" s="11">
        <v>215</v>
      </c>
      <c r="F422" s="11">
        <f>D422-E422</f>
        <v>0</v>
      </c>
      <c r="G422" s="81">
        <f>SUM(H422:M422)</f>
        <v>0</v>
      </c>
      <c r="H422" s="11"/>
      <c r="I422" s="11"/>
      <c r="J422" s="11">
        <v>0</v>
      </c>
      <c r="K422" s="11"/>
      <c r="L422" s="11">
        <v>0</v>
      </c>
      <c r="M422" s="71">
        <v>0</v>
      </c>
      <c r="N422" s="33"/>
    </row>
    <row r="423" spans="1:14" s="70" customFormat="1" ht="26.25" customHeight="1">
      <c r="A423" s="83"/>
      <c r="B423" s="203"/>
      <c r="C423" s="10"/>
      <c r="D423" s="10"/>
      <c r="E423" s="10"/>
      <c r="F423" s="10"/>
      <c r="G423" s="82"/>
      <c r="H423" s="10"/>
      <c r="I423" s="10"/>
      <c r="J423" s="10"/>
      <c r="K423" s="10"/>
      <c r="L423" s="10"/>
      <c r="M423" s="60"/>
      <c r="N423" s="33"/>
    </row>
    <row r="424" spans="1:14" s="70" customFormat="1" ht="26.25" customHeight="1">
      <c r="A424" s="83"/>
      <c r="B424" s="203"/>
      <c r="C424" s="10"/>
      <c r="D424" s="10"/>
      <c r="E424" s="10"/>
      <c r="F424" s="10"/>
      <c r="G424" s="82"/>
      <c r="H424" s="10"/>
      <c r="I424" s="10"/>
      <c r="J424" s="10"/>
      <c r="K424" s="10"/>
      <c r="L424" s="10"/>
      <c r="M424" s="60"/>
      <c r="N424" s="33"/>
    </row>
    <row r="425" spans="1:14" s="70" customFormat="1" ht="26.25" customHeight="1">
      <c r="A425" s="83">
        <v>10</v>
      </c>
      <c r="B425" s="92" t="s">
        <v>352</v>
      </c>
      <c r="C425" s="11">
        <v>116</v>
      </c>
      <c r="D425" s="11">
        <v>116</v>
      </c>
      <c r="E425" s="11">
        <v>114</v>
      </c>
      <c r="F425" s="11">
        <f>D425-E425</f>
        <v>2</v>
      </c>
      <c r="G425" s="81">
        <f>SUM(H425:M425)</f>
        <v>1</v>
      </c>
      <c r="H425" s="11"/>
      <c r="I425" s="11"/>
      <c r="J425" s="11">
        <v>0</v>
      </c>
      <c r="K425" s="11"/>
      <c r="L425" s="11">
        <v>1</v>
      </c>
      <c r="M425" s="71">
        <v>0</v>
      </c>
      <c r="N425" s="33" t="s">
        <v>205</v>
      </c>
    </row>
    <row r="426" spans="1:14" s="70" customFormat="1" ht="26.25" customHeight="1">
      <c r="A426" s="83"/>
      <c r="B426" s="203" t="s">
        <v>362</v>
      </c>
      <c r="C426" s="11">
        <v>96</v>
      </c>
      <c r="D426" s="11">
        <v>96</v>
      </c>
      <c r="E426" s="11">
        <v>96</v>
      </c>
      <c r="F426" s="11">
        <f>D426-E426</f>
        <v>0</v>
      </c>
      <c r="G426" s="81">
        <f>SUM(H426:M426)</f>
        <v>0</v>
      </c>
      <c r="H426" s="11"/>
      <c r="I426" s="11"/>
      <c r="J426" s="11">
        <v>0</v>
      </c>
      <c r="K426" s="11"/>
      <c r="L426" s="11">
        <v>0</v>
      </c>
      <c r="M426" s="71">
        <v>0</v>
      </c>
      <c r="N426" s="33"/>
    </row>
    <row r="427" spans="1:14" s="70" customFormat="1" ht="26.25" customHeight="1">
      <c r="A427" s="83"/>
      <c r="B427" s="203"/>
      <c r="C427" s="10"/>
      <c r="D427" s="10"/>
      <c r="E427" s="10"/>
      <c r="F427" s="10"/>
      <c r="G427" s="82"/>
      <c r="H427" s="10"/>
      <c r="I427" s="10"/>
      <c r="J427" s="10"/>
      <c r="K427" s="10"/>
      <c r="L427" s="10"/>
      <c r="M427" s="60"/>
      <c r="N427" s="33"/>
    </row>
    <row r="428" spans="1:14" s="70" customFormat="1" ht="26.25" customHeight="1">
      <c r="A428" s="83"/>
      <c r="B428" s="203"/>
      <c r="C428" s="10"/>
      <c r="D428" s="10"/>
      <c r="E428" s="10"/>
      <c r="F428" s="10"/>
      <c r="G428" s="82"/>
      <c r="H428" s="10"/>
      <c r="I428" s="10"/>
      <c r="J428" s="10"/>
      <c r="K428" s="10"/>
      <c r="L428" s="10"/>
      <c r="M428" s="60"/>
      <c r="N428" s="33"/>
    </row>
    <row r="429" spans="1:14" s="70" customFormat="1" ht="26.25" customHeight="1">
      <c r="A429" s="83">
        <v>11</v>
      </c>
      <c r="B429" s="92" t="s">
        <v>353</v>
      </c>
      <c r="C429" s="11">
        <v>91</v>
      </c>
      <c r="D429" s="11">
        <v>91</v>
      </c>
      <c r="E429" s="11">
        <v>90</v>
      </c>
      <c r="F429" s="11">
        <f>D429-E429</f>
        <v>1</v>
      </c>
      <c r="G429" s="81">
        <f>SUM(H429:M429)</f>
        <v>1</v>
      </c>
      <c r="H429" s="11"/>
      <c r="I429" s="11"/>
      <c r="J429" s="11">
        <v>0</v>
      </c>
      <c r="K429" s="11"/>
      <c r="L429" s="11">
        <v>1</v>
      </c>
      <c r="M429" s="71">
        <v>0</v>
      </c>
      <c r="N429" s="33" t="s">
        <v>205</v>
      </c>
    </row>
    <row r="430" spans="1:14" s="70" customFormat="1" ht="26.25" customHeight="1">
      <c r="A430" s="83"/>
      <c r="B430" s="203" t="s">
        <v>362</v>
      </c>
      <c r="C430" s="11">
        <v>75</v>
      </c>
      <c r="D430" s="11">
        <v>75</v>
      </c>
      <c r="E430" s="11">
        <v>74</v>
      </c>
      <c r="F430" s="11">
        <f>D430-E430</f>
        <v>1</v>
      </c>
      <c r="G430" s="81">
        <f>SUM(H430:M430)</f>
        <v>0</v>
      </c>
      <c r="H430" s="11"/>
      <c r="I430" s="11"/>
      <c r="J430" s="11">
        <v>0</v>
      </c>
      <c r="K430" s="11"/>
      <c r="L430" s="11">
        <v>0</v>
      </c>
      <c r="M430" s="71">
        <v>0</v>
      </c>
      <c r="N430" s="33"/>
    </row>
    <row r="431" spans="1:14" s="70" customFormat="1" ht="18.75" customHeight="1">
      <c r="A431" s="83"/>
      <c r="B431" s="203"/>
      <c r="C431" s="10"/>
      <c r="D431" s="10"/>
      <c r="E431" s="10"/>
      <c r="F431" s="10"/>
      <c r="G431" s="82"/>
      <c r="H431" s="10"/>
      <c r="I431" s="10"/>
      <c r="J431" s="10"/>
      <c r="K431" s="10"/>
      <c r="L431" s="10"/>
      <c r="M431" s="60"/>
      <c r="N431" s="33"/>
    </row>
    <row r="432" spans="1:14" s="70" customFormat="1" ht="18.75" customHeight="1">
      <c r="A432" s="83"/>
      <c r="B432" s="203"/>
      <c r="C432" s="10"/>
      <c r="D432" s="10"/>
      <c r="E432" s="10"/>
      <c r="F432" s="10"/>
      <c r="G432" s="82"/>
      <c r="H432" s="10"/>
      <c r="I432" s="10"/>
      <c r="J432" s="10"/>
      <c r="K432" s="10"/>
      <c r="L432" s="10"/>
      <c r="M432" s="60"/>
      <c r="N432" s="33"/>
    </row>
    <row r="433" spans="1:14" s="70" customFormat="1" ht="26.25" customHeight="1">
      <c r="A433" s="83">
        <v>12</v>
      </c>
      <c r="B433" s="92" t="s">
        <v>354</v>
      </c>
      <c r="C433" s="11">
        <v>85</v>
      </c>
      <c r="D433" s="11">
        <v>85</v>
      </c>
      <c r="E433" s="11">
        <v>84</v>
      </c>
      <c r="F433" s="11">
        <f>D433-E433</f>
        <v>1</v>
      </c>
      <c r="G433" s="81">
        <f>SUM(H433:M433)</f>
        <v>1</v>
      </c>
      <c r="H433" s="11"/>
      <c r="I433" s="11"/>
      <c r="J433" s="11">
        <v>0</v>
      </c>
      <c r="K433" s="11"/>
      <c r="L433" s="11">
        <v>1</v>
      </c>
      <c r="M433" s="71">
        <v>0</v>
      </c>
      <c r="N433" s="33" t="s">
        <v>205</v>
      </c>
    </row>
    <row r="434" spans="1:14" s="70" customFormat="1" ht="26.25" customHeight="1">
      <c r="A434" s="83"/>
      <c r="B434" s="203" t="s">
        <v>362</v>
      </c>
      <c r="C434" s="11">
        <v>70</v>
      </c>
      <c r="D434" s="11">
        <v>70</v>
      </c>
      <c r="E434" s="11">
        <v>69</v>
      </c>
      <c r="F434" s="11">
        <f>D434-E434</f>
        <v>1</v>
      </c>
      <c r="G434" s="81">
        <f>SUM(H434:M434)</f>
        <v>0</v>
      </c>
      <c r="H434" s="11"/>
      <c r="I434" s="11"/>
      <c r="J434" s="11">
        <v>0</v>
      </c>
      <c r="K434" s="11"/>
      <c r="L434" s="11">
        <v>0</v>
      </c>
      <c r="M434" s="71">
        <v>0</v>
      </c>
      <c r="N434" s="33"/>
    </row>
    <row r="435" spans="1:14" s="70" customFormat="1" ht="20.25" customHeight="1">
      <c r="A435" s="83"/>
      <c r="B435" s="203"/>
      <c r="C435" s="10"/>
      <c r="D435" s="10"/>
      <c r="E435" s="10"/>
      <c r="F435" s="10"/>
      <c r="G435" s="82"/>
      <c r="H435" s="10"/>
      <c r="I435" s="10"/>
      <c r="J435" s="10"/>
      <c r="K435" s="10"/>
      <c r="L435" s="10"/>
      <c r="M435" s="60"/>
      <c r="N435" s="33"/>
    </row>
    <row r="436" spans="1:14" s="70" customFormat="1" ht="20.25" customHeight="1">
      <c r="A436" s="83"/>
      <c r="B436" s="203"/>
      <c r="C436" s="10"/>
      <c r="D436" s="10"/>
      <c r="E436" s="10"/>
      <c r="F436" s="10"/>
      <c r="G436" s="82"/>
      <c r="H436" s="10"/>
      <c r="I436" s="10"/>
      <c r="J436" s="10"/>
      <c r="K436" s="10"/>
      <c r="L436" s="10"/>
      <c r="M436" s="60"/>
      <c r="N436" s="33"/>
    </row>
    <row r="437" spans="1:14" s="70" customFormat="1" ht="26.25" customHeight="1">
      <c r="A437" s="83">
        <v>13</v>
      </c>
      <c r="B437" s="92" t="s">
        <v>355</v>
      </c>
      <c r="C437" s="11">
        <v>125</v>
      </c>
      <c r="D437" s="11">
        <v>125</v>
      </c>
      <c r="E437" s="11">
        <v>124</v>
      </c>
      <c r="F437" s="11">
        <f>D437-E437</f>
        <v>1</v>
      </c>
      <c r="G437" s="81">
        <f>SUM(H437:M437)</f>
        <v>1</v>
      </c>
      <c r="H437" s="11"/>
      <c r="I437" s="11"/>
      <c r="J437" s="11">
        <v>0</v>
      </c>
      <c r="K437" s="11"/>
      <c r="L437" s="11">
        <v>1</v>
      </c>
      <c r="M437" s="71">
        <v>0</v>
      </c>
      <c r="N437" s="33" t="s">
        <v>205</v>
      </c>
    </row>
    <row r="438" spans="1:14" s="70" customFormat="1" ht="26.25" customHeight="1">
      <c r="A438" s="83"/>
      <c r="B438" s="203" t="s">
        <v>362</v>
      </c>
      <c r="C438" s="11">
        <v>104</v>
      </c>
      <c r="D438" s="11">
        <v>104</v>
      </c>
      <c r="E438" s="11">
        <v>104</v>
      </c>
      <c r="F438" s="11">
        <f>D438-E438</f>
        <v>0</v>
      </c>
      <c r="G438" s="81">
        <f>SUM(H438:M438)</f>
        <v>0</v>
      </c>
      <c r="H438" s="11"/>
      <c r="I438" s="11"/>
      <c r="J438" s="11">
        <v>0</v>
      </c>
      <c r="K438" s="11"/>
      <c r="L438" s="11">
        <v>0</v>
      </c>
      <c r="M438" s="71">
        <v>0</v>
      </c>
      <c r="N438" s="33"/>
    </row>
    <row r="439" spans="1:14" s="70" customFormat="1" ht="17.25" customHeight="1">
      <c r="A439" s="83"/>
      <c r="B439" s="203"/>
      <c r="C439" s="10"/>
      <c r="D439" s="10"/>
      <c r="E439" s="10"/>
      <c r="F439" s="10"/>
      <c r="G439" s="82"/>
      <c r="H439" s="10"/>
      <c r="I439" s="10"/>
      <c r="J439" s="10"/>
      <c r="K439" s="10"/>
      <c r="L439" s="10"/>
      <c r="M439" s="60"/>
      <c r="N439" s="33"/>
    </row>
    <row r="440" spans="1:14" s="70" customFormat="1" ht="17.25" customHeight="1">
      <c r="A440" s="83"/>
      <c r="B440" s="203"/>
      <c r="C440" s="10"/>
      <c r="D440" s="10"/>
      <c r="E440" s="10"/>
      <c r="F440" s="10"/>
      <c r="G440" s="82"/>
      <c r="H440" s="10"/>
      <c r="I440" s="10"/>
      <c r="J440" s="10"/>
      <c r="K440" s="10"/>
      <c r="L440" s="10"/>
      <c r="M440" s="60"/>
      <c r="N440" s="33"/>
    </row>
    <row r="441" spans="1:14" s="70" customFormat="1" ht="25.5" customHeight="1">
      <c r="A441" s="83">
        <v>14</v>
      </c>
      <c r="B441" s="92" t="s">
        <v>356</v>
      </c>
      <c r="C441" s="11">
        <v>202</v>
      </c>
      <c r="D441" s="11">
        <v>202</v>
      </c>
      <c r="E441" s="11">
        <v>199</v>
      </c>
      <c r="F441" s="11">
        <f>D441-E441</f>
        <v>3</v>
      </c>
      <c r="G441" s="81">
        <f>SUM(H441:M441)</f>
        <v>2</v>
      </c>
      <c r="H441" s="11"/>
      <c r="I441" s="11"/>
      <c r="J441" s="11">
        <v>0</v>
      </c>
      <c r="K441" s="11"/>
      <c r="L441" s="11">
        <v>2</v>
      </c>
      <c r="M441" s="71">
        <v>0</v>
      </c>
      <c r="N441" s="33" t="s">
        <v>205</v>
      </c>
    </row>
    <row r="442" spans="1:14" s="70" customFormat="1" ht="25.5" customHeight="1">
      <c r="A442" s="83"/>
      <c r="B442" s="203" t="s">
        <v>362</v>
      </c>
      <c r="C442" s="11">
        <v>170</v>
      </c>
      <c r="D442" s="11">
        <v>170</v>
      </c>
      <c r="E442" s="11">
        <v>170</v>
      </c>
      <c r="F442" s="11">
        <f>D442-E442</f>
        <v>0</v>
      </c>
      <c r="G442" s="81">
        <f>SUM(H442:M442)</f>
        <v>0</v>
      </c>
      <c r="H442" s="11"/>
      <c r="I442" s="11"/>
      <c r="J442" s="11">
        <v>0</v>
      </c>
      <c r="K442" s="11"/>
      <c r="L442" s="11">
        <v>0</v>
      </c>
      <c r="M442" s="71">
        <v>0</v>
      </c>
      <c r="N442" s="33"/>
    </row>
    <row r="443" spans="1:14" s="70" customFormat="1" ht="15.75" customHeight="1">
      <c r="A443" s="83"/>
      <c r="B443" s="203"/>
      <c r="C443" s="10"/>
      <c r="D443" s="10"/>
      <c r="E443" s="10"/>
      <c r="F443" s="10"/>
      <c r="G443" s="82"/>
      <c r="H443" s="10"/>
      <c r="I443" s="10"/>
      <c r="J443" s="10"/>
      <c r="K443" s="10"/>
      <c r="L443" s="10"/>
      <c r="M443" s="60"/>
      <c r="N443" s="33"/>
    </row>
    <row r="444" spans="1:14" s="70" customFormat="1" ht="15.75" customHeight="1">
      <c r="A444" s="83"/>
      <c r="B444" s="203"/>
      <c r="C444" s="10"/>
      <c r="D444" s="10"/>
      <c r="E444" s="10"/>
      <c r="F444" s="10"/>
      <c r="G444" s="82"/>
      <c r="H444" s="10"/>
      <c r="I444" s="10"/>
      <c r="J444" s="10"/>
      <c r="K444" s="10"/>
      <c r="L444" s="10"/>
      <c r="M444" s="60"/>
      <c r="N444" s="33"/>
    </row>
    <row r="445" spans="1:14" s="70" customFormat="1" ht="25.5" customHeight="1">
      <c r="A445" s="83">
        <v>15</v>
      </c>
      <c r="B445" s="92" t="s">
        <v>357</v>
      </c>
      <c r="C445" s="11">
        <v>127</v>
      </c>
      <c r="D445" s="11">
        <v>127</v>
      </c>
      <c r="E445" s="11">
        <v>126</v>
      </c>
      <c r="F445" s="11">
        <f>D445-E445</f>
        <v>1</v>
      </c>
      <c r="G445" s="81">
        <f>SUM(H445:M445)</f>
        <v>1</v>
      </c>
      <c r="H445" s="11"/>
      <c r="I445" s="11"/>
      <c r="J445" s="11">
        <v>0</v>
      </c>
      <c r="K445" s="11"/>
      <c r="L445" s="11">
        <v>1</v>
      </c>
      <c r="M445" s="71">
        <v>0</v>
      </c>
      <c r="N445" s="33" t="s">
        <v>205</v>
      </c>
    </row>
    <row r="446" spans="1:14" s="70" customFormat="1" ht="14.25" customHeight="1">
      <c r="A446" s="83"/>
      <c r="B446" s="203" t="s">
        <v>362</v>
      </c>
      <c r="C446" s="11">
        <v>106</v>
      </c>
      <c r="D446" s="11">
        <v>106</v>
      </c>
      <c r="E446" s="11">
        <v>106</v>
      </c>
      <c r="F446" s="11">
        <f>D446-E446</f>
        <v>0</v>
      </c>
      <c r="G446" s="81">
        <f>SUM(H446:M446)</f>
        <v>0</v>
      </c>
      <c r="H446" s="11"/>
      <c r="I446" s="11"/>
      <c r="J446" s="11">
        <v>0</v>
      </c>
      <c r="K446" s="11"/>
      <c r="L446" s="11">
        <v>0</v>
      </c>
      <c r="M446" s="71">
        <v>0</v>
      </c>
      <c r="N446" s="33"/>
    </row>
    <row r="447" spans="1:14" s="70" customFormat="1" ht="16.5" customHeight="1">
      <c r="A447" s="83"/>
      <c r="B447" s="203"/>
      <c r="C447" s="10"/>
      <c r="D447" s="10"/>
      <c r="E447" s="10"/>
      <c r="F447" s="10"/>
      <c r="G447" s="82"/>
      <c r="H447" s="10"/>
      <c r="I447" s="10"/>
      <c r="J447" s="10"/>
      <c r="K447" s="10"/>
      <c r="L447" s="10"/>
      <c r="M447" s="60"/>
      <c r="N447" s="33"/>
    </row>
    <row r="448" spans="1:14" s="70" customFormat="1" ht="16.5" customHeight="1">
      <c r="A448" s="83"/>
      <c r="B448" s="203"/>
      <c r="C448" s="10"/>
      <c r="D448" s="10"/>
      <c r="E448" s="10"/>
      <c r="F448" s="10"/>
      <c r="G448" s="82"/>
      <c r="H448" s="10"/>
      <c r="I448" s="10"/>
      <c r="J448" s="10"/>
      <c r="K448" s="10"/>
      <c r="L448" s="10"/>
      <c r="M448" s="60"/>
      <c r="N448" s="33"/>
    </row>
    <row r="449" spans="1:14" s="70" customFormat="1" ht="25.5" customHeight="1">
      <c r="A449" s="83">
        <v>16</v>
      </c>
      <c r="B449" s="92" t="s">
        <v>358</v>
      </c>
      <c r="C449" s="11">
        <v>273</v>
      </c>
      <c r="D449" s="11">
        <v>273</v>
      </c>
      <c r="E449" s="11">
        <v>271</v>
      </c>
      <c r="F449" s="11">
        <f>D449-E449</f>
        <v>2</v>
      </c>
      <c r="G449" s="81">
        <f>SUM(H449:M449)</f>
        <v>2</v>
      </c>
      <c r="H449" s="11"/>
      <c r="I449" s="11"/>
      <c r="J449" s="11">
        <v>0</v>
      </c>
      <c r="K449" s="11"/>
      <c r="L449" s="11">
        <v>2</v>
      </c>
      <c r="M449" s="71">
        <v>0</v>
      </c>
      <c r="N449" s="33" t="s">
        <v>205</v>
      </c>
    </row>
    <row r="450" spans="1:14" s="70" customFormat="1" ht="17.25" customHeight="1">
      <c r="A450" s="83"/>
      <c r="B450" s="203" t="s">
        <v>363</v>
      </c>
      <c r="C450" s="11">
        <v>231</v>
      </c>
      <c r="D450" s="11">
        <v>231</v>
      </c>
      <c r="E450" s="11">
        <v>231</v>
      </c>
      <c r="F450" s="11">
        <f>D450-E450</f>
        <v>0</v>
      </c>
      <c r="G450" s="81">
        <f>SUM(H450:M450)</f>
        <v>0</v>
      </c>
      <c r="H450" s="11"/>
      <c r="I450" s="11"/>
      <c r="J450" s="11">
        <v>0</v>
      </c>
      <c r="K450" s="11"/>
      <c r="L450" s="11">
        <v>0</v>
      </c>
      <c r="M450" s="71">
        <v>0</v>
      </c>
      <c r="N450" s="33"/>
    </row>
    <row r="451" spans="1:14" s="70" customFormat="1" ht="15.75" customHeight="1">
      <c r="A451" s="83"/>
      <c r="B451" s="203"/>
      <c r="C451" s="10"/>
      <c r="D451" s="10"/>
      <c r="E451" s="10"/>
      <c r="F451" s="10"/>
      <c r="G451" s="82"/>
      <c r="H451" s="10"/>
      <c r="I451" s="10"/>
      <c r="J451" s="10"/>
      <c r="K451" s="10"/>
      <c r="L451" s="10"/>
      <c r="M451" s="60"/>
      <c r="N451" s="33"/>
    </row>
    <row r="452" spans="1:14" s="70" customFormat="1" ht="15.75" customHeight="1">
      <c r="A452" s="83"/>
      <c r="B452" s="203"/>
      <c r="C452" s="10"/>
      <c r="D452" s="10"/>
      <c r="E452" s="10"/>
      <c r="F452" s="10"/>
      <c r="G452" s="82"/>
      <c r="H452" s="10"/>
      <c r="I452" s="10"/>
      <c r="J452" s="10"/>
      <c r="K452" s="10"/>
      <c r="L452" s="10"/>
      <c r="M452" s="60"/>
      <c r="N452" s="33"/>
    </row>
    <row r="453" spans="1:14" s="70" customFormat="1" ht="25.5" customHeight="1">
      <c r="A453" s="83">
        <v>17</v>
      </c>
      <c r="B453" s="92" t="s">
        <v>359</v>
      </c>
      <c r="C453" s="11">
        <v>543</v>
      </c>
      <c r="D453" s="11">
        <v>543</v>
      </c>
      <c r="E453" s="11">
        <v>539</v>
      </c>
      <c r="F453" s="11">
        <f>D453-E453</f>
        <v>4</v>
      </c>
      <c r="G453" s="81">
        <f>SUM(H453:M453)</f>
        <v>4</v>
      </c>
      <c r="H453" s="11"/>
      <c r="I453" s="11"/>
      <c r="J453" s="11">
        <v>0</v>
      </c>
      <c r="K453" s="11"/>
      <c r="L453" s="11">
        <v>4</v>
      </c>
      <c r="M453" s="71">
        <v>0</v>
      </c>
      <c r="N453" s="33" t="s">
        <v>205</v>
      </c>
    </row>
    <row r="454" spans="1:14" s="70" customFormat="1" ht="21.75" customHeight="1">
      <c r="A454" s="83"/>
      <c r="B454" s="203" t="s">
        <v>363</v>
      </c>
      <c r="C454" s="11">
        <v>464</v>
      </c>
      <c r="D454" s="11">
        <v>464</v>
      </c>
      <c r="E454" s="11">
        <v>464</v>
      </c>
      <c r="F454" s="11">
        <f>D454-E454</f>
        <v>0</v>
      </c>
      <c r="G454" s="81">
        <f>SUM(H454:M454)</f>
        <v>0</v>
      </c>
      <c r="H454" s="11"/>
      <c r="I454" s="11"/>
      <c r="J454" s="11">
        <v>0</v>
      </c>
      <c r="K454" s="11"/>
      <c r="L454" s="11">
        <v>0</v>
      </c>
      <c r="M454" s="71">
        <v>0</v>
      </c>
      <c r="N454" s="33"/>
    </row>
    <row r="455" spans="1:14" s="70" customFormat="1" ht="13.5" customHeight="1">
      <c r="A455" s="83"/>
      <c r="B455" s="203"/>
      <c r="C455" s="10"/>
      <c r="D455" s="10"/>
      <c r="E455" s="10"/>
      <c r="F455" s="10"/>
      <c r="G455" s="82"/>
      <c r="H455" s="10"/>
      <c r="I455" s="10"/>
      <c r="J455" s="10"/>
      <c r="K455" s="10"/>
      <c r="L455" s="10"/>
      <c r="M455" s="60"/>
      <c r="N455" s="33"/>
    </row>
    <row r="456" spans="1:14" s="70" customFormat="1" ht="13.5" customHeight="1">
      <c r="A456" s="83"/>
      <c r="B456" s="203"/>
      <c r="C456" s="10"/>
      <c r="D456" s="10"/>
      <c r="E456" s="10"/>
      <c r="F456" s="10"/>
      <c r="G456" s="82"/>
      <c r="H456" s="10"/>
      <c r="I456" s="10"/>
      <c r="J456" s="10"/>
      <c r="K456" s="10"/>
      <c r="L456" s="10"/>
      <c r="M456" s="60"/>
      <c r="N456" s="33"/>
    </row>
    <row r="457" spans="1:14" s="70" customFormat="1" ht="25.5" customHeight="1">
      <c r="A457" s="83">
        <v>18</v>
      </c>
      <c r="B457" s="92" t="s">
        <v>361</v>
      </c>
      <c r="C457" s="11">
        <v>205</v>
      </c>
      <c r="D457" s="11">
        <v>205</v>
      </c>
      <c r="E457" s="11">
        <v>203</v>
      </c>
      <c r="F457" s="11">
        <f>D457-E457</f>
        <v>2</v>
      </c>
      <c r="G457" s="81">
        <f>SUM(H457:M457)</f>
        <v>2</v>
      </c>
      <c r="H457" s="11"/>
      <c r="I457" s="11"/>
      <c r="J457" s="11">
        <v>0</v>
      </c>
      <c r="K457" s="11"/>
      <c r="L457" s="11">
        <v>2</v>
      </c>
      <c r="M457" s="71">
        <v>0</v>
      </c>
      <c r="N457" s="33" t="s">
        <v>205</v>
      </c>
    </row>
    <row r="458" spans="1:14" s="70" customFormat="1" ht="25.5" customHeight="1">
      <c r="A458" s="83"/>
      <c r="B458" s="203" t="s">
        <v>363</v>
      </c>
      <c r="C458" s="11">
        <v>173</v>
      </c>
      <c r="D458" s="11">
        <v>173</v>
      </c>
      <c r="E458" s="11">
        <v>172</v>
      </c>
      <c r="F458" s="11">
        <f>D458-E458</f>
        <v>1</v>
      </c>
      <c r="G458" s="81">
        <f>SUM(H458:M458)</f>
        <v>0</v>
      </c>
      <c r="H458" s="11"/>
      <c r="I458" s="11"/>
      <c r="J458" s="11">
        <v>0</v>
      </c>
      <c r="K458" s="11"/>
      <c r="L458" s="11">
        <v>0</v>
      </c>
      <c r="M458" s="71">
        <v>0</v>
      </c>
      <c r="N458" s="33"/>
    </row>
    <row r="459" spans="1:14" s="70" customFormat="1" ht="13.5" customHeight="1">
      <c r="A459" s="83"/>
      <c r="B459" s="203"/>
      <c r="C459" s="10"/>
      <c r="D459" s="10"/>
      <c r="E459" s="10"/>
      <c r="F459" s="10"/>
      <c r="G459" s="82"/>
      <c r="H459" s="10"/>
      <c r="I459" s="10"/>
      <c r="J459" s="10"/>
      <c r="K459" s="10"/>
      <c r="L459" s="10"/>
      <c r="M459" s="60"/>
      <c r="N459" s="33"/>
    </row>
    <row r="460" spans="1:14" s="70" customFormat="1" ht="13.5" customHeight="1">
      <c r="A460" s="83"/>
      <c r="B460" s="203"/>
      <c r="C460" s="10"/>
      <c r="D460" s="10"/>
      <c r="E460" s="10"/>
      <c r="F460" s="10"/>
      <c r="G460" s="82"/>
      <c r="H460" s="10"/>
      <c r="I460" s="10"/>
      <c r="J460" s="10"/>
      <c r="K460" s="10"/>
      <c r="L460" s="10"/>
      <c r="M460" s="60"/>
      <c r="N460" s="33"/>
    </row>
    <row r="461" spans="1:14" s="70" customFormat="1" ht="25.5" customHeight="1">
      <c r="A461" s="83">
        <v>19</v>
      </c>
      <c r="B461" s="92" t="s">
        <v>360</v>
      </c>
      <c r="C461" s="11">
        <v>181</v>
      </c>
      <c r="D461" s="11">
        <v>181</v>
      </c>
      <c r="E461" s="11">
        <v>179</v>
      </c>
      <c r="F461" s="11">
        <f>D461-E461</f>
        <v>2</v>
      </c>
      <c r="G461" s="81">
        <f>SUM(H461:M461)</f>
        <v>2</v>
      </c>
      <c r="H461" s="11"/>
      <c r="I461" s="11"/>
      <c r="J461" s="11">
        <v>0</v>
      </c>
      <c r="K461" s="11"/>
      <c r="L461" s="11">
        <v>2</v>
      </c>
      <c r="M461" s="71">
        <v>0</v>
      </c>
      <c r="N461" s="33" t="s">
        <v>205</v>
      </c>
    </row>
    <row r="462" spans="1:14" s="70" customFormat="1" ht="25.5" customHeight="1">
      <c r="A462" s="83"/>
      <c r="B462" s="203" t="s">
        <v>363</v>
      </c>
      <c r="C462" s="11">
        <v>152</v>
      </c>
      <c r="D462" s="11">
        <v>152</v>
      </c>
      <c r="E462" s="11">
        <v>151</v>
      </c>
      <c r="F462" s="11">
        <f>D462-E462</f>
        <v>1</v>
      </c>
      <c r="G462" s="81">
        <f>SUM(H462:M462)</f>
        <v>0</v>
      </c>
      <c r="H462" s="11"/>
      <c r="I462" s="11"/>
      <c r="J462" s="11">
        <v>0</v>
      </c>
      <c r="K462" s="11"/>
      <c r="L462" s="11">
        <v>0</v>
      </c>
      <c r="M462" s="71">
        <v>0</v>
      </c>
      <c r="N462" s="33"/>
    </row>
    <row r="463" spans="1:14" s="70" customFormat="1" ht="25.5" customHeight="1">
      <c r="A463" s="83"/>
      <c r="B463" s="203"/>
      <c r="C463" s="10"/>
      <c r="D463" s="10"/>
      <c r="E463" s="10"/>
      <c r="F463" s="10"/>
      <c r="G463" s="82"/>
      <c r="H463" s="10"/>
      <c r="I463" s="10"/>
      <c r="J463" s="10"/>
      <c r="K463" s="10"/>
      <c r="L463" s="10"/>
      <c r="M463" s="60"/>
      <c r="N463" s="33"/>
    </row>
    <row r="464" spans="1:13" ht="21" customHeight="1">
      <c r="A464" s="83"/>
      <c r="B464" s="199"/>
      <c r="C464" s="10"/>
      <c r="D464" s="10"/>
      <c r="E464" s="10"/>
      <c r="F464" s="10"/>
      <c r="G464" s="82"/>
      <c r="H464" s="10"/>
      <c r="I464" s="10"/>
      <c r="J464" s="10"/>
      <c r="K464" s="10"/>
      <c r="L464" s="10"/>
      <c r="M464" s="60"/>
    </row>
    <row r="465" spans="1:13" ht="24" customHeight="1">
      <c r="A465" s="28" t="s">
        <v>173</v>
      </c>
      <c r="B465" s="61" t="s">
        <v>179</v>
      </c>
      <c r="C465" s="27">
        <f>C468+C472+C476+C480+C484+C488+C492+C496+C500+C504+C508+C512+C516+C520</f>
        <v>48730</v>
      </c>
      <c r="D465" s="27">
        <f aca="true" t="shared" si="65" ref="D465:M465">D468+D472+D476+D480+D484+D488+D492+D496+D500+D504+D508+D512+D516+D520</f>
        <v>48730</v>
      </c>
      <c r="E465" s="27">
        <f t="shared" si="65"/>
        <v>0</v>
      </c>
      <c r="F465" s="27">
        <f t="shared" si="65"/>
        <v>48730</v>
      </c>
      <c r="G465" s="27">
        <f t="shared" si="65"/>
        <v>13643</v>
      </c>
      <c r="H465" s="27">
        <f t="shared" si="65"/>
        <v>0</v>
      </c>
      <c r="I465" s="27">
        <f t="shared" si="65"/>
        <v>0</v>
      </c>
      <c r="J465" s="27">
        <f t="shared" si="65"/>
        <v>6144</v>
      </c>
      <c r="K465" s="27">
        <f t="shared" si="65"/>
        <v>0</v>
      </c>
      <c r="L465" s="27">
        <f>L468+L472+L476+L480+L484+L488+L492+L496+L500+L504+L508+L512+L516+L520</f>
        <v>7499</v>
      </c>
      <c r="M465" s="27">
        <f t="shared" si="65"/>
        <v>0</v>
      </c>
    </row>
    <row r="466" spans="1:13" ht="24" customHeight="1">
      <c r="A466" s="28"/>
      <c r="B466" s="62" t="s">
        <v>174</v>
      </c>
      <c r="C466" s="27">
        <f>C469+C473+C477+C481+C485+C489+C493+C497+C501+C505+C509+C513+C517+C521</f>
        <v>42936</v>
      </c>
      <c r="D466" s="27">
        <f aca="true" t="shared" si="66" ref="D466:M466">D469+D473+D477+D481+D485+D489+D493+D497+D501+D505+D509+D513+D517+D521</f>
        <v>42936</v>
      </c>
      <c r="E466" s="27">
        <f t="shared" si="66"/>
        <v>0</v>
      </c>
      <c r="F466" s="27">
        <f t="shared" si="66"/>
        <v>42936</v>
      </c>
      <c r="G466" s="27">
        <f t="shared" si="66"/>
        <v>12016</v>
      </c>
      <c r="H466" s="27">
        <f t="shared" si="66"/>
        <v>0</v>
      </c>
      <c r="I466" s="27">
        <f t="shared" si="66"/>
        <v>0</v>
      </c>
      <c r="J466" s="27">
        <f t="shared" si="66"/>
        <v>5469</v>
      </c>
      <c r="K466" s="27">
        <f t="shared" si="66"/>
        <v>0</v>
      </c>
      <c r="L466" s="27">
        <f t="shared" si="66"/>
        <v>6547</v>
      </c>
      <c r="M466" s="27">
        <f t="shared" si="66"/>
        <v>0</v>
      </c>
    </row>
    <row r="467" spans="1:13" ht="24" customHeight="1">
      <c r="A467" s="28"/>
      <c r="B467" s="57"/>
      <c r="C467" s="75"/>
      <c r="D467" s="75"/>
      <c r="E467" s="75"/>
      <c r="F467" s="75"/>
      <c r="G467" s="75"/>
      <c r="H467" s="75"/>
      <c r="I467" s="75"/>
      <c r="J467" s="75"/>
      <c r="K467" s="75"/>
      <c r="L467" s="75"/>
      <c r="M467" s="75"/>
    </row>
    <row r="468" spans="1:14" ht="42.75">
      <c r="A468" s="83">
        <v>1</v>
      </c>
      <c r="B468" s="92" t="s">
        <v>59</v>
      </c>
      <c r="C468" s="11">
        <v>41227</v>
      </c>
      <c r="D468" s="11">
        <f>C468</f>
        <v>41227</v>
      </c>
      <c r="E468" s="11">
        <v>0</v>
      </c>
      <c r="F468" s="11">
        <f>D468-E468</f>
        <v>41227</v>
      </c>
      <c r="G468" s="81">
        <f>SUM(H468:M468)</f>
        <v>6144</v>
      </c>
      <c r="H468" s="11"/>
      <c r="I468" s="11"/>
      <c r="J468" s="11">
        <v>6144</v>
      </c>
      <c r="K468" s="11"/>
      <c r="L468" s="11">
        <v>0</v>
      </c>
      <c r="M468" s="71">
        <v>0</v>
      </c>
      <c r="N468" s="33" t="s">
        <v>205</v>
      </c>
    </row>
    <row r="469" spans="1:13" ht="24" customHeight="1">
      <c r="A469" s="83"/>
      <c r="B469" s="203" t="s">
        <v>60</v>
      </c>
      <c r="C469" s="11">
        <v>36383</v>
      </c>
      <c r="D469" s="11">
        <f>C469</f>
        <v>36383</v>
      </c>
      <c r="E469" s="11">
        <v>0</v>
      </c>
      <c r="F469" s="11">
        <f>D469-E469</f>
        <v>36383</v>
      </c>
      <c r="G469" s="81">
        <f>SUM(H469:M469)</f>
        <v>5469</v>
      </c>
      <c r="H469" s="11"/>
      <c r="I469" s="11"/>
      <c r="J469" s="11">
        <v>5469</v>
      </c>
      <c r="K469" s="11"/>
      <c r="L469" s="11">
        <v>0</v>
      </c>
      <c r="M469" s="71">
        <v>0</v>
      </c>
    </row>
    <row r="470" spans="1:13" ht="17.25" customHeight="1">
      <c r="A470" s="28"/>
      <c r="B470" s="57"/>
      <c r="C470" s="75"/>
      <c r="D470" s="75"/>
      <c r="E470" s="75"/>
      <c r="F470" s="75"/>
      <c r="G470" s="75"/>
      <c r="H470" s="75"/>
      <c r="I470" s="75"/>
      <c r="J470" s="75"/>
      <c r="K470" s="75"/>
      <c r="L470" s="75"/>
      <c r="M470" s="75"/>
    </row>
    <row r="471" spans="1:13" ht="17.25" customHeight="1">
      <c r="A471" s="28"/>
      <c r="B471" s="57"/>
      <c r="C471" s="75"/>
      <c r="D471" s="75"/>
      <c r="E471" s="75"/>
      <c r="F471" s="75"/>
      <c r="G471" s="75"/>
      <c r="H471" s="75"/>
      <c r="I471" s="75"/>
      <c r="J471" s="75"/>
      <c r="K471" s="75"/>
      <c r="L471" s="75"/>
      <c r="M471" s="75"/>
    </row>
    <row r="472" spans="1:14" ht="24" customHeight="1">
      <c r="A472" s="83">
        <v>2</v>
      </c>
      <c r="B472" s="92" t="s">
        <v>552</v>
      </c>
      <c r="C472" s="11">
        <v>570</v>
      </c>
      <c r="D472" s="11">
        <f>C472</f>
        <v>570</v>
      </c>
      <c r="E472" s="11">
        <v>0</v>
      </c>
      <c r="F472" s="11">
        <f>D472-E472</f>
        <v>570</v>
      </c>
      <c r="G472" s="81">
        <f>SUM(H472:M472)</f>
        <v>570</v>
      </c>
      <c r="H472" s="11"/>
      <c r="I472" s="11"/>
      <c r="J472" s="11">
        <v>0</v>
      </c>
      <c r="K472" s="11"/>
      <c r="L472" s="11">
        <v>570</v>
      </c>
      <c r="M472" s="71">
        <v>0</v>
      </c>
      <c r="N472" s="33" t="s">
        <v>205</v>
      </c>
    </row>
    <row r="473" spans="1:13" ht="24" customHeight="1">
      <c r="A473" s="83"/>
      <c r="B473" s="203" t="s">
        <v>550</v>
      </c>
      <c r="C473" s="11">
        <v>494</v>
      </c>
      <c r="D473" s="11">
        <f>C473</f>
        <v>494</v>
      </c>
      <c r="E473" s="11">
        <v>0</v>
      </c>
      <c r="F473" s="11">
        <f>D473-E473</f>
        <v>494</v>
      </c>
      <c r="G473" s="81">
        <f>SUM(H473:M473)</f>
        <v>494</v>
      </c>
      <c r="H473" s="11"/>
      <c r="I473" s="11"/>
      <c r="J473" s="11">
        <v>0</v>
      </c>
      <c r="K473" s="11"/>
      <c r="L473" s="11">
        <v>494</v>
      </c>
      <c r="M473" s="71">
        <v>0</v>
      </c>
    </row>
    <row r="474" spans="1:13" ht="17.25" customHeight="1">
      <c r="A474" s="28"/>
      <c r="B474" s="57"/>
      <c r="C474" s="75"/>
      <c r="D474" s="75"/>
      <c r="E474" s="75"/>
      <c r="F474" s="75"/>
      <c r="G474" s="75"/>
      <c r="H474" s="75"/>
      <c r="I474" s="75"/>
      <c r="J474" s="75"/>
      <c r="K474" s="75"/>
      <c r="L474" s="75"/>
      <c r="M474" s="75"/>
    </row>
    <row r="475" spans="1:13" ht="17.25" customHeight="1">
      <c r="A475" s="28"/>
      <c r="B475" s="57"/>
      <c r="C475" s="75"/>
      <c r="D475" s="75"/>
      <c r="E475" s="75"/>
      <c r="F475" s="75"/>
      <c r="G475" s="75"/>
      <c r="H475" s="75"/>
      <c r="I475" s="75"/>
      <c r="J475" s="75"/>
      <c r="K475" s="75"/>
      <c r="L475" s="75"/>
      <c r="M475" s="75"/>
    </row>
    <row r="476" spans="1:14" ht="24" customHeight="1">
      <c r="A476" s="83">
        <v>3</v>
      </c>
      <c r="B476" s="92" t="s">
        <v>553</v>
      </c>
      <c r="C476" s="11">
        <v>247</v>
      </c>
      <c r="D476" s="11">
        <f>C476</f>
        <v>247</v>
      </c>
      <c r="E476" s="11">
        <v>0</v>
      </c>
      <c r="F476" s="11">
        <f>D476-E476</f>
        <v>247</v>
      </c>
      <c r="G476" s="81">
        <f>SUM(H476:M476)</f>
        <v>246</v>
      </c>
      <c r="H476" s="11"/>
      <c r="I476" s="11"/>
      <c r="J476" s="11">
        <v>0</v>
      </c>
      <c r="K476" s="11"/>
      <c r="L476" s="11">
        <v>246</v>
      </c>
      <c r="M476" s="71">
        <v>0</v>
      </c>
      <c r="N476" s="33" t="s">
        <v>205</v>
      </c>
    </row>
    <row r="477" spans="1:13" ht="24" customHeight="1">
      <c r="A477" s="83"/>
      <c r="B477" s="203" t="s">
        <v>550</v>
      </c>
      <c r="C477" s="11">
        <v>211</v>
      </c>
      <c r="D477" s="11">
        <f>C477</f>
        <v>211</v>
      </c>
      <c r="E477" s="11">
        <v>0</v>
      </c>
      <c r="F477" s="11">
        <f>D477-E477</f>
        <v>211</v>
      </c>
      <c r="G477" s="81">
        <f>SUM(H477:M477)</f>
        <v>210</v>
      </c>
      <c r="H477" s="11"/>
      <c r="I477" s="11"/>
      <c r="J477" s="11">
        <v>0</v>
      </c>
      <c r="K477" s="11"/>
      <c r="L477" s="11">
        <v>210</v>
      </c>
      <c r="M477" s="71">
        <v>0</v>
      </c>
    </row>
    <row r="478" spans="1:13" ht="19.5" customHeight="1">
      <c r="A478" s="28"/>
      <c r="B478" s="57"/>
      <c r="C478" s="75"/>
      <c r="D478" s="75"/>
      <c r="E478" s="75"/>
      <c r="F478" s="75"/>
      <c r="G478" s="75"/>
      <c r="H478" s="75"/>
      <c r="I478" s="75"/>
      <c r="J478" s="75"/>
      <c r="K478" s="75"/>
      <c r="L478" s="75"/>
      <c r="M478" s="75"/>
    </row>
    <row r="479" spans="1:13" ht="19.5" customHeight="1">
      <c r="A479" s="28"/>
      <c r="B479" s="57"/>
      <c r="C479" s="75"/>
      <c r="D479" s="75"/>
      <c r="E479" s="75"/>
      <c r="F479" s="75"/>
      <c r="G479" s="75"/>
      <c r="H479" s="75"/>
      <c r="I479" s="75"/>
      <c r="J479" s="75"/>
      <c r="K479" s="75"/>
      <c r="L479" s="75"/>
      <c r="M479" s="75"/>
    </row>
    <row r="480" spans="1:14" ht="24" customHeight="1">
      <c r="A480" s="83">
        <v>4</v>
      </c>
      <c r="B480" s="92" t="s">
        <v>554</v>
      </c>
      <c r="C480" s="11">
        <v>165</v>
      </c>
      <c r="D480" s="11">
        <f>C480</f>
        <v>165</v>
      </c>
      <c r="E480" s="11">
        <v>0</v>
      </c>
      <c r="F480" s="11">
        <f>D480-E480</f>
        <v>165</v>
      </c>
      <c r="G480" s="81">
        <f>SUM(H480:M480)</f>
        <v>164</v>
      </c>
      <c r="H480" s="11"/>
      <c r="I480" s="11"/>
      <c r="J480" s="11">
        <v>0</v>
      </c>
      <c r="K480" s="11"/>
      <c r="L480" s="11">
        <v>164</v>
      </c>
      <c r="M480" s="71">
        <v>0</v>
      </c>
      <c r="N480" s="33" t="s">
        <v>205</v>
      </c>
    </row>
    <row r="481" spans="1:13" ht="24" customHeight="1">
      <c r="A481" s="83"/>
      <c r="B481" s="203" t="s">
        <v>550</v>
      </c>
      <c r="C481" s="11">
        <v>140</v>
      </c>
      <c r="D481" s="11">
        <f>C481</f>
        <v>140</v>
      </c>
      <c r="E481" s="11">
        <v>0</v>
      </c>
      <c r="F481" s="11">
        <f>D481-E481</f>
        <v>140</v>
      </c>
      <c r="G481" s="81">
        <f>SUM(H481:M481)</f>
        <v>140</v>
      </c>
      <c r="H481" s="11"/>
      <c r="I481" s="11"/>
      <c r="J481" s="11">
        <v>0</v>
      </c>
      <c r="K481" s="11"/>
      <c r="L481" s="11">
        <v>140</v>
      </c>
      <c r="M481" s="71">
        <v>0</v>
      </c>
    </row>
    <row r="482" spans="1:13" ht="13.5" customHeight="1">
      <c r="A482" s="28"/>
      <c r="B482" s="57"/>
      <c r="C482" s="75"/>
      <c r="D482" s="75"/>
      <c r="E482" s="75"/>
      <c r="F482" s="75"/>
      <c r="G482" s="75"/>
      <c r="H482" s="75"/>
      <c r="I482" s="75"/>
      <c r="J482" s="75"/>
      <c r="K482" s="75"/>
      <c r="L482" s="75"/>
      <c r="M482" s="75"/>
    </row>
    <row r="483" spans="1:13" ht="13.5" customHeight="1">
      <c r="A483" s="28"/>
      <c r="B483" s="57"/>
      <c r="C483" s="75"/>
      <c r="D483" s="75"/>
      <c r="E483" s="75"/>
      <c r="F483" s="75"/>
      <c r="G483" s="75"/>
      <c r="H483" s="75"/>
      <c r="I483" s="75"/>
      <c r="J483" s="75"/>
      <c r="K483" s="75"/>
      <c r="L483" s="75"/>
      <c r="M483" s="75"/>
    </row>
    <row r="484" spans="1:14" ht="24" customHeight="1">
      <c r="A484" s="83">
        <v>5</v>
      </c>
      <c r="B484" s="92" t="s">
        <v>555</v>
      </c>
      <c r="C484" s="11">
        <v>259</v>
      </c>
      <c r="D484" s="11">
        <f>C484</f>
        <v>259</v>
      </c>
      <c r="E484" s="11">
        <v>0</v>
      </c>
      <c r="F484" s="11">
        <f>D484-E484</f>
        <v>259</v>
      </c>
      <c r="G484" s="81">
        <f>SUM(H484:M484)</f>
        <v>259</v>
      </c>
      <c r="H484" s="11"/>
      <c r="I484" s="11"/>
      <c r="J484" s="11">
        <v>0</v>
      </c>
      <c r="K484" s="11"/>
      <c r="L484" s="11">
        <v>259</v>
      </c>
      <c r="M484" s="71">
        <v>0</v>
      </c>
      <c r="N484" s="33" t="s">
        <v>205</v>
      </c>
    </row>
    <row r="485" spans="1:13" ht="24" customHeight="1">
      <c r="A485" s="83"/>
      <c r="B485" s="203" t="s">
        <v>550</v>
      </c>
      <c r="C485" s="11">
        <v>222</v>
      </c>
      <c r="D485" s="11">
        <f>C485</f>
        <v>222</v>
      </c>
      <c r="E485" s="11">
        <v>0</v>
      </c>
      <c r="F485" s="11">
        <f>D485-E485</f>
        <v>222</v>
      </c>
      <c r="G485" s="81">
        <f>SUM(H485:M485)</f>
        <v>221</v>
      </c>
      <c r="H485" s="11"/>
      <c r="I485" s="11"/>
      <c r="J485" s="11">
        <v>0</v>
      </c>
      <c r="K485" s="11"/>
      <c r="L485" s="11">
        <v>221</v>
      </c>
      <c r="M485" s="71">
        <v>0</v>
      </c>
    </row>
    <row r="486" spans="1:13" ht="15" customHeight="1">
      <c r="A486" s="28"/>
      <c r="B486" s="57"/>
      <c r="C486" s="75"/>
      <c r="D486" s="75"/>
      <c r="E486" s="75"/>
      <c r="F486" s="75"/>
      <c r="G486" s="75"/>
      <c r="H486" s="75"/>
      <c r="I486" s="75"/>
      <c r="J486" s="75"/>
      <c r="K486" s="75"/>
      <c r="L486" s="75"/>
      <c r="M486" s="75"/>
    </row>
    <row r="487" spans="1:13" ht="15" customHeight="1">
      <c r="A487" s="28"/>
      <c r="B487" s="57"/>
      <c r="C487" s="75"/>
      <c r="D487" s="75"/>
      <c r="E487" s="75"/>
      <c r="F487" s="75"/>
      <c r="G487" s="75"/>
      <c r="H487" s="75"/>
      <c r="I487" s="75"/>
      <c r="J487" s="75"/>
      <c r="K487" s="75"/>
      <c r="L487" s="75"/>
      <c r="M487" s="75"/>
    </row>
    <row r="488" spans="1:14" ht="24" customHeight="1">
      <c r="A488" s="83">
        <v>6</v>
      </c>
      <c r="B488" s="92" t="s">
        <v>556</v>
      </c>
      <c r="C488" s="11">
        <v>400</v>
      </c>
      <c r="D488" s="11">
        <f>C488</f>
        <v>400</v>
      </c>
      <c r="E488" s="11">
        <v>0</v>
      </c>
      <c r="F488" s="11">
        <f>D488-E488</f>
        <v>400</v>
      </c>
      <c r="G488" s="81">
        <f>SUM(H488:M488)</f>
        <v>399</v>
      </c>
      <c r="H488" s="11"/>
      <c r="I488" s="11"/>
      <c r="J488" s="11">
        <v>0</v>
      </c>
      <c r="K488" s="11"/>
      <c r="L488" s="11">
        <v>399</v>
      </c>
      <c r="M488" s="71">
        <v>0</v>
      </c>
      <c r="N488" s="33" t="s">
        <v>205</v>
      </c>
    </row>
    <row r="489" spans="1:13" ht="24" customHeight="1">
      <c r="A489" s="83"/>
      <c r="B489" s="203" t="s">
        <v>550</v>
      </c>
      <c r="C489" s="11">
        <v>346</v>
      </c>
      <c r="D489" s="11">
        <f>C489</f>
        <v>346</v>
      </c>
      <c r="E489" s="11">
        <v>0</v>
      </c>
      <c r="F489" s="11">
        <f>D489-E489</f>
        <v>346</v>
      </c>
      <c r="G489" s="81">
        <f>SUM(H489:M489)</f>
        <v>346</v>
      </c>
      <c r="H489" s="11"/>
      <c r="I489" s="11"/>
      <c r="J489" s="11">
        <v>0</v>
      </c>
      <c r="K489" s="11"/>
      <c r="L489" s="11">
        <v>346</v>
      </c>
      <c r="M489" s="71">
        <v>0</v>
      </c>
    </row>
    <row r="490" spans="1:13" ht="15.75" customHeight="1">
      <c r="A490" s="28"/>
      <c r="B490" s="57"/>
      <c r="C490" s="75"/>
      <c r="D490" s="75"/>
      <c r="E490" s="75"/>
      <c r="F490" s="75"/>
      <c r="G490" s="75"/>
      <c r="H490" s="75"/>
      <c r="I490" s="75"/>
      <c r="J490" s="75"/>
      <c r="K490" s="75"/>
      <c r="L490" s="75"/>
      <c r="M490" s="75"/>
    </row>
    <row r="491" spans="1:13" ht="15.75" customHeight="1">
      <c r="A491" s="83"/>
      <c r="B491" s="93"/>
      <c r="C491" s="10"/>
      <c r="D491" s="10"/>
      <c r="E491" s="10"/>
      <c r="F491" s="10"/>
      <c r="G491" s="82"/>
      <c r="H491" s="10"/>
      <c r="I491" s="10"/>
      <c r="J491" s="10"/>
      <c r="K491" s="10"/>
      <c r="L491" s="10"/>
      <c r="M491" s="60"/>
    </row>
    <row r="492" spans="1:14" ht="24" customHeight="1">
      <c r="A492" s="83">
        <v>7</v>
      </c>
      <c r="B492" s="92" t="s">
        <v>557</v>
      </c>
      <c r="C492" s="11">
        <v>198</v>
      </c>
      <c r="D492" s="11">
        <f>C492</f>
        <v>198</v>
      </c>
      <c r="E492" s="11">
        <v>0</v>
      </c>
      <c r="F492" s="11">
        <f>D492-E492</f>
        <v>198</v>
      </c>
      <c r="G492" s="81">
        <f>SUM(H492:M492)</f>
        <v>198</v>
      </c>
      <c r="H492" s="11"/>
      <c r="I492" s="11"/>
      <c r="J492" s="11">
        <v>0</v>
      </c>
      <c r="K492" s="11"/>
      <c r="L492" s="11">
        <v>198</v>
      </c>
      <c r="M492" s="71">
        <v>0</v>
      </c>
      <c r="N492" s="33" t="s">
        <v>205</v>
      </c>
    </row>
    <row r="493" spans="1:13" ht="24" customHeight="1">
      <c r="A493" s="83"/>
      <c r="B493" s="203" t="s">
        <v>550</v>
      </c>
      <c r="C493" s="11">
        <v>170</v>
      </c>
      <c r="D493" s="11">
        <f>C493</f>
        <v>170</v>
      </c>
      <c r="E493" s="11">
        <v>0</v>
      </c>
      <c r="F493" s="11">
        <f>D493-E493</f>
        <v>170</v>
      </c>
      <c r="G493" s="81">
        <f>SUM(H493:M493)</f>
        <v>169</v>
      </c>
      <c r="H493" s="11"/>
      <c r="I493" s="11"/>
      <c r="J493" s="11">
        <v>0</v>
      </c>
      <c r="K493" s="11"/>
      <c r="L493" s="11">
        <v>169</v>
      </c>
      <c r="M493" s="71">
        <v>0</v>
      </c>
    </row>
    <row r="494" spans="1:13" ht="32.25" customHeight="1">
      <c r="A494" s="28"/>
      <c r="B494" s="57"/>
      <c r="C494" s="75"/>
      <c r="D494" s="75"/>
      <c r="E494" s="75"/>
      <c r="F494" s="75"/>
      <c r="G494" s="75"/>
      <c r="H494" s="75"/>
      <c r="I494" s="75"/>
      <c r="J494" s="75"/>
      <c r="K494" s="75"/>
      <c r="L494" s="75"/>
      <c r="M494" s="75"/>
    </row>
    <row r="495" spans="1:13" ht="32.25" customHeight="1">
      <c r="A495" s="28"/>
      <c r="B495" s="57"/>
      <c r="C495" s="75"/>
      <c r="D495" s="75"/>
      <c r="E495" s="75"/>
      <c r="F495" s="75"/>
      <c r="G495" s="75"/>
      <c r="H495" s="75"/>
      <c r="I495" s="75"/>
      <c r="J495" s="75"/>
      <c r="K495" s="75"/>
      <c r="L495" s="75"/>
      <c r="M495" s="75"/>
    </row>
    <row r="496" spans="1:14" ht="24" customHeight="1">
      <c r="A496" s="83">
        <v>8</v>
      </c>
      <c r="B496" s="92" t="s">
        <v>558</v>
      </c>
      <c r="C496" s="11">
        <v>146</v>
      </c>
      <c r="D496" s="11">
        <f>C496</f>
        <v>146</v>
      </c>
      <c r="E496" s="11">
        <v>0</v>
      </c>
      <c r="F496" s="11">
        <f>D496-E496</f>
        <v>146</v>
      </c>
      <c r="G496" s="81">
        <f>SUM(H496:M496)</f>
        <v>146</v>
      </c>
      <c r="H496" s="11"/>
      <c r="I496" s="11"/>
      <c r="J496" s="11">
        <v>0</v>
      </c>
      <c r="K496" s="11"/>
      <c r="L496" s="11">
        <v>146</v>
      </c>
      <c r="M496" s="71">
        <v>0</v>
      </c>
      <c r="N496" s="33" t="s">
        <v>205</v>
      </c>
    </row>
    <row r="497" spans="1:13" ht="24" customHeight="1">
      <c r="A497" s="83"/>
      <c r="B497" s="203" t="s">
        <v>550</v>
      </c>
      <c r="C497" s="11">
        <v>124</v>
      </c>
      <c r="D497" s="11">
        <f>C497</f>
        <v>124</v>
      </c>
      <c r="E497" s="11">
        <v>0</v>
      </c>
      <c r="F497" s="11">
        <f>D497-E497</f>
        <v>124</v>
      </c>
      <c r="G497" s="81">
        <f>SUM(H497:M497)</f>
        <v>124</v>
      </c>
      <c r="H497" s="11"/>
      <c r="I497" s="11"/>
      <c r="J497" s="11">
        <v>0</v>
      </c>
      <c r="K497" s="11"/>
      <c r="L497" s="11">
        <v>124</v>
      </c>
      <c r="M497" s="71">
        <v>0</v>
      </c>
    </row>
    <row r="498" spans="1:13" ht="19.5" customHeight="1">
      <c r="A498" s="28"/>
      <c r="B498" s="57"/>
      <c r="C498" s="75"/>
      <c r="D498" s="75"/>
      <c r="E498" s="75"/>
      <c r="F498" s="75"/>
      <c r="G498" s="75"/>
      <c r="H498" s="75"/>
      <c r="I498" s="75"/>
      <c r="J498" s="75"/>
      <c r="K498" s="75"/>
      <c r="L498" s="75"/>
      <c r="M498" s="75"/>
    </row>
    <row r="499" spans="1:13" ht="19.5" customHeight="1">
      <c r="A499" s="28"/>
      <c r="B499" s="57"/>
      <c r="C499" s="75"/>
      <c r="D499" s="75"/>
      <c r="E499" s="75"/>
      <c r="F499" s="75"/>
      <c r="G499" s="75"/>
      <c r="H499" s="75"/>
      <c r="I499" s="75"/>
      <c r="J499" s="75"/>
      <c r="K499" s="75"/>
      <c r="L499" s="75"/>
      <c r="M499" s="75"/>
    </row>
    <row r="500" spans="1:14" ht="24" customHeight="1">
      <c r="A500" s="83">
        <v>9</v>
      </c>
      <c r="B500" s="92" t="s">
        <v>559</v>
      </c>
      <c r="C500" s="11">
        <v>274</v>
      </c>
      <c r="D500" s="11">
        <f>C500</f>
        <v>274</v>
      </c>
      <c r="E500" s="11">
        <v>0</v>
      </c>
      <c r="F500" s="11">
        <f>D500-E500</f>
        <v>274</v>
      </c>
      <c r="G500" s="81">
        <f>SUM(H500:M500)</f>
        <v>274</v>
      </c>
      <c r="H500" s="11"/>
      <c r="I500" s="11"/>
      <c r="J500" s="11">
        <v>0</v>
      </c>
      <c r="K500" s="11"/>
      <c r="L500" s="11">
        <v>274</v>
      </c>
      <c r="M500" s="71">
        <v>0</v>
      </c>
      <c r="N500" s="33" t="s">
        <v>205</v>
      </c>
    </row>
    <row r="501" spans="1:13" ht="24" customHeight="1">
      <c r="A501" s="83"/>
      <c r="B501" s="203" t="s">
        <v>550</v>
      </c>
      <c r="C501" s="11">
        <v>235</v>
      </c>
      <c r="D501" s="11">
        <f>C501</f>
        <v>235</v>
      </c>
      <c r="E501" s="11">
        <v>0</v>
      </c>
      <c r="F501" s="11">
        <f>D501-E501</f>
        <v>235</v>
      </c>
      <c r="G501" s="81">
        <f>SUM(H501:M501)</f>
        <v>234</v>
      </c>
      <c r="H501" s="11"/>
      <c r="I501" s="11"/>
      <c r="J501" s="11">
        <v>0</v>
      </c>
      <c r="K501" s="11"/>
      <c r="L501" s="11">
        <v>234</v>
      </c>
      <c r="M501" s="71">
        <v>0</v>
      </c>
    </row>
    <row r="502" spans="1:13" ht="15" customHeight="1">
      <c r="A502" s="28"/>
      <c r="B502" s="57"/>
      <c r="C502" s="75"/>
      <c r="D502" s="75"/>
      <c r="E502" s="75"/>
      <c r="F502" s="75"/>
      <c r="G502" s="75"/>
      <c r="H502" s="75"/>
      <c r="I502" s="75"/>
      <c r="J502" s="75"/>
      <c r="K502" s="75"/>
      <c r="L502" s="75"/>
      <c r="M502" s="75"/>
    </row>
    <row r="503" spans="1:13" ht="15" customHeight="1">
      <c r="A503" s="28"/>
      <c r="B503" s="57"/>
      <c r="C503" s="75"/>
      <c r="D503" s="75"/>
      <c r="E503" s="75"/>
      <c r="F503" s="75"/>
      <c r="G503" s="75"/>
      <c r="H503" s="75"/>
      <c r="I503" s="75"/>
      <c r="J503" s="75"/>
      <c r="K503" s="75"/>
      <c r="L503" s="75"/>
      <c r="M503" s="75"/>
    </row>
    <row r="504" spans="1:14" ht="16.5" customHeight="1">
      <c r="A504" s="83">
        <v>10</v>
      </c>
      <c r="B504" s="92" t="s">
        <v>0</v>
      </c>
      <c r="C504" s="11">
        <v>2678</v>
      </c>
      <c r="D504" s="11">
        <f>C504</f>
        <v>2678</v>
      </c>
      <c r="E504" s="11">
        <v>0</v>
      </c>
      <c r="F504" s="11">
        <f>D504-E504</f>
        <v>2678</v>
      </c>
      <c r="G504" s="81">
        <f>SUM(H504:M504)</f>
        <v>2678</v>
      </c>
      <c r="H504" s="11"/>
      <c r="I504" s="11"/>
      <c r="J504" s="11">
        <v>0</v>
      </c>
      <c r="K504" s="11"/>
      <c r="L504" s="11">
        <v>2678</v>
      </c>
      <c r="M504" s="71">
        <v>0</v>
      </c>
      <c r="N504" s="33" t="s">
        <v>205</v>
      </c>
    </row>
    <row r="505" spans="1:16" ht="16.5" customHeight="1">
      <c r="A505" s="83"/>
      <c r="B505" s="203" t="s">
        <v>551</v>
      </c>
      <c r="C505" s="11">
        <v>2370</v>
      </c>
      <c r="D505" s="11">
        <f>C505</f>
        <v>2370</v>
      </c>
      <c r="E505" s="11">
        <v>0</v>
      </c>
      <c r="F505" s="11">
        <f>D505-E505</f>
        <v>2370</v>
      </c>
      <c r="G505" s="81">
        <f>SUM(H505:M505)</f>
        <v>2370</v>
      </c>
      <c r="H505" s="11"/>
      <c r="I505" s="11"/>
      <c r="J505" s="11">
        <v>0</v>
      </c>
      <c r="K505" s="11"/>
      <c r="L505" s="11">
        <v>2370</v>
      </c>
      <c r="M505" s="71">
        <v>0</v>
      </c>
      <c r="P505" s="247"/>
    </row>
    <row r="506" spans="1:13" ht="15.75" customHeight="1">
      <c r="A506" s="28"/>
      <c r="B506" s="57"/>
      <c r="C506" s="75"/>
      <c r="D506" s="75"/>
      <c r="E506" s="75"/>
      <c r="F506" s="75"/>
      <c r="G506" s="75"/>
      <c r="H506" s="75"/>
      <c r="I506" s="75"/>
      <c r="J506" s="75"/>
      <c r="K506" s="75"/>
      <c r="L506" s="75"/>
      <c r="M506" s="75"/>
    </row>
    <row r="507" spans="1:13" ht="15.75" customHeight="1">
      <c r="A507" s="28"/>
      <c r="B507" s="57"/>
      <c r="C507" s="75"/>
      <c r="D507" s="75"/>
      <c r="E507" s="75"/>
      <c r="F507" s="75"/>
      <c r="G507" s="75"/>
      <c r="H507" s="75"/>
      <c r="I507" s="75"/>
      <c r="J507" s="75"/>
      <c r="K507" s="75"/>
      <c r="L507" s="75"/>
      <c r="M507" s="75"/>
    </row>
    <row r="508" spans="1:14" ht="16.5" customHeight="1">
      <c r="A508" s="83">
        <v>11</v>
      </c>
      <c r="B508" s="92" t="s">
        <v>1</v>
      </c>
      <c r="C508" s="11">
        <v>556</v>
      </c>
      <c r="D508" s="11">
        <f>C508</f>
        <v>556</v>
      </c>
      <c r="E508" s="11">
        <v>0</v>
      </c>
      <c r="F508" s="11">
        <f>D508-E508</f>
        <v>556</v>
      </c>
      <c r="G508" s="81">
        <f>SUM(H508:M508)</f>
        <v>556</v>
      </c>
      <c r="H508" s="11"/>
      <c r="I508" s="11"/>
      <c r="J508" s="11">
        <v>0</v>
      </c>
      <c r="K508" s="11"/>
      <c r="L508" s="11">
        <v>556</v>
      </c>
      <c r="M508" s="71">
        <v>0</v>
      </c>
      <c r="N508" s="33" t="s">
        <v>205</v>
      </c>
    </row>
    <row r="509" spans="1:16" ht="16.5" customHeight="1">
      <c r="A509" s="83"/>
      <c r="B509" s="203" t="s">
        <v>551</v>
      </c>
      <c r="C509" s="11">
        <v>482</v>
      </c>
      <c r="D509" s="11">
        <f>C509</f>
        <v>482</v>
      </c>
      <c r="E509" s="11">
        <v>0</v>
      </c>
      <c r="F509" s="11">
        <f>D509-E509</f>
        <v>482</v>
      </c>
      <c r="G509" s="81">
        <f>SUM(H509:M509)</f>
        <v>482</v>
      </c>
      <c r="H509" s="11"/>
      <c r="I509" s="11"/>
      <c r="J509" s="11">
        <v>0</v>
      </c>
      <c r="K509" s="11"/>
      <c r="L509" s="11">
        <v>482</v>
      </c>
      <c r="M509" s="71">
        <v>0</v>
      </c>
      <c r="P509" s="247"/>
    </row>
    <row r="510" spans="1:13" ht="15.75" customHeight="1">
      <c r="A510" s="28"/>
      <c r="B510" s="57"/>
      <c r="C510" s="75"/>
      <c r="D510" s="75"/>
      <c r="E510" s="75"/>
      <c r="F510" s="75"/>
      <c r="G510" s="75"/>
      <c r="H510" s="75"/>
      <c r="I510" s="75"/>
      <c r="J510" s="75"/>
      <c r="K510" s="75"/>
      <c r="L510" s="75"/>
      <c r="M510" s="75"/>
    </row>
    <row r="511" spans="1:13" ht="15.75" customHeight="1">
      <c r="A511" s="28"/>
      <c r="B511" s="57"/>
      <c r="C511" s="75"/>
      <c r="D511" s="75"/>
      <c r="E511" s="75"/>
      <c r="F511" s="75"/>
      <c r="G511" s="75"/>
      <c r="H511" s="75"/>
      <c r="I511" s="75"/>
      <c r="J511" s="75"/>
      <c r="K511" s="75"/>
      <c r="L511" s="75"/>
      <c r="M511" s="75"/>
    </row>
    <row r="512" spans="1:14" ht="28.5">
      <c r="A512" s="83">
        <v>12</v>
      </c>
      <c r="B512" s="92" t="s">
        <v>2</v>
      </c>
      <c r="C512" s="11">
        <v>1297</v>
      </c>
      <c r="D512" s="11">
        <f>C512</f>
        <v>1297</v>
      </c>
      <c r="E512" s="11">
        <v>0</v>
      </c>
      <c r="F512" s="11">
        <f>D512-E512</f>
        <v>1297</v>
      </c>
      <c r="G512" s="81">
        <f>SUM(H512:M512)</f>
        <v>1296</v>
      </c>
      <c r="H512" s="11"/>
      <c r="I512" s="11"/>
      <c r="J512" s="11">
        <v>0</v>
      </c>
      <c r="K512" s="11"/>
      <c r="L512" s="11">
        <v>1296</v>
      </c>
      <c r="M512" s="71">
        <v>0</v>
      </c>
      <c r="N512" s="33" t="s">
        <v>205</v>
      </c>
    </row>
    <row r="513" spans="1:16" ht="16.5" customHeight="1">
      <c r="A513" s="83"/>
      <c r="B513" s="203" t="s">
        <v>551</v>
      </c>
      <c r="C513" s="11">
        <v>1142</v>
      </c>
      <c r="D513" s="11">
        <f>C513</f>
        <v>1142</v>
      </c>
      <c r="E513" s="11">
        <v>0</v>
      </c>
      <c r="F513" s="11">
        <f>D513-E513</f>
        <v>1142</v>
      </c>
      <c r="G513" s="81">
        <f>SUM(H513:M513)</f>
        <v>1141</v>
      </c>
      <c r="H513" s="11"/>
      <c r="I513" s="11"/>
      <c r="J513" s="11">
        <v>0</v>
      </c>
      <c r="K513" s="11"/>
      <c r="L513" s="11">
        <v>1141</v>
      </c>
      <c r="M513" s="71">
        <v>0</v>
      </c>
      <c r="P513" s="247"/>
    </row>
    <row r="514" spans="1:13" ht="15" customHeight="1">
      <c r="A514" s="28"/>
      <c r="B514" s="57"/>
      <c r="C514" s="75"/>
      <c r="D514" s="75"/>
      <c r="E514" s="75"/>
      <c r="F514" s="75"/>
      <c r="G514" s="75"/>
      <c r="H514" s="75"/>
      <c r="I514" s="75"/>
      <c r="J514" s="75"/>
      <c r="K514" s="75"/>
      <c r="L514" s="75"/>
      <c r="M514" s="75"/>
    </row>
    <row r="515" spans="1:13" ht="15" customHeight="1">
      <c r="A515" s="83"/>
      <c r="B515" s="93"/>
      <c r="C515" s="10"/>
      <c r="D515" s="10"/>
      <c r="E515" s="10"/>
      <c r="F515" s="10"/>
      <c r="G515" s="82"/>
      <c r="H515" s="10"/>
      <c r="I515" s="10"/>
      <c r="J515" s="10"/>
      <c r="K515" s="10"/>
      <c r="L515" s="10"/>
      <c r="M515" s="60"/>
    </row>
    <row r="516" spans="1:14" ht="16.5" customHeight="1">
      <c r="A516" s="83">
        <v>13</v>
      </c>
      <c r="B516" s="92" t="s">
        <v>3</v>
      </c>
      <c r="C516" s="11">
        <v>443</v>
      </c>
      <c r="D516" s="11">
        <f>C516</f>
        <v>443</v>
      </c>
      <c r="E516" s="11">
        <v>0</v>
      </c>
      <c r="F516" s="11">
        <f>D516-E516</f>
        <v>443</v>
      </c>
      <c r="G516" s="81">
        <f>SUM(H516:M516)</f>
        <v>443</v>
      </c>
      <c r="H516" s="11"/>
      <c r="I516" s="11"/>
      <c r="J516" s="11">
        <v>0</v>
      </c>
      <c r="K516" s="11"/>
      <c r="L516" s="11">
        <v>443</v>
      </c>
      <c r="M516" s="71">
        <v>0</v>
      </c>
      <c r="N516" s="33" t="s">
        <v>205</v>
      </c>
    </row>
    <row r="517" spans="1:16" ht="16.5" customHeight="1">
      <c r="A517" s="83"/>
      <c r="B517" s="203" t="s">
        <v>551</v>
      </c>
      <c r="C517" s="11">
        <v>383</v>
      </c>
      <c r="D517" s="11">
        <f>C517</f>
        <v>383</v>
      </c>
      <c r="E517" s="11">
        <v>0</v>
      </c>
      <c r="F517" s="11">
        <f>D517-E517</f>
        <v>383</v>
      </c>
      <c r="G517" s="81">
        <f>SUM(H517:M517)</f>
        <v>383</v>
      </c>
      <c r="H517" s="11"/>
      <c r="I517" s="11"/>
      <c r="J517" s="11">
        <v>0</v>
      </c>
      <c r="K517" s="11"/>
      <c r="L517" s="11">
        <v>383</v>
      </c>
      <c r="M517" s="71">
        <v>0</v>
      </c>
      <c r="P517" s="247"/>
    </row>
    <row r="518" spans="1:13" ht="16.5" customHeight="1">
      <c r="A518" s="28"/>
      <c r="B518" s="57"/>
      <c r="C518" s="75"/>
      <c r="D518" s="75"/>
      <c r="E518" s="75"/>
      <c r="F518" s="75"/>
      <c r="G518" s="75"/>
      <c r="H518" s="75"/>
      <c r="I518" s="75"/>
      <c r="J518" s="75"/>
      <c r="K518" s="75"/>
      <c r="L518" s="75"/>
      <c r="M518" s="75"/>
    </row>
    <row r="519" spans="1:13" ht="16.5" customHeight="1">
      <c r="A519" s="28"/>
      <c r="B519" s="57"/>
      <c r="C519" s="75"/>
      <c r="D519" s="75"/>
      <c r="E519" s="75"/>
      <c r="F519" s="75"/>
      <c r="G519" s="75"/>
      <c r="H519" s="75"/>
      <c r="I519" s="75"/>
      <c r="J519" s="75"/>
      <c r="K519" s="75"/>
      <c r="L519" s="75"/>
      <c r="M519" s="75"/>
    </row>
    <row r="520" spans="1:14" ht="16.5" customHeight="1">
      <c r="A520" s="83">
        <v>14</v>
      </c>
      <c r="B520" s="92" t="s">
        <v>4</v>
      </c>
      <c r="C520" s="11">
        <v>270</v>
      </c>
      <c r="D520" s="11">
        <f>C520</f>
        <v>270</v>
      </c>
      <c r="E520" s="11">
        <v>0</v>
      </c>
      <c r="F520" s="11">
        <f>D520-E520</f>
        <v>270</v>
      </c>
      <c r="G520" s="81">
        <f>SUM(H520:M520)</f>
        <v>270</v>
      </c>
      <c r="H520" s="11"/>
      <c r="I520" s="11"/>
      <c r="J520" s="11">
        <v>0</v>
      </c>
      <c r="K520" s="11"/>
      <c r="L520" s="11">
        <v>270</v>
      </c>
      <c r="M520" s="71">
        <v>0</v>
      </c>
      <c r="N520" s="33" t="s">
        <v>205</v>
      </c>
    </row>
    <row r="521" spans="1:16" ht="16.5" customHeight="1">
      <c r="A521" s="83"/>
      <c r="B521" s="203" t="s">
        <v>551</v>
      </c>
      <c r="C521" s="11">
        <v>234</v>
      </c>
      <c r="D521" s="11">
        <f>C521</f>
        <v>234</v>
      </c>
      <c r="E521" s="11">
        <v>0</v>
      </c>
      <c r="F521" s="11">
        <f>D521-E521</f>
        <v>234</v>
      </c>
      <c r="G521" s="81">
        <f>SUM(H521:M521)</f>
        <v>233</v>
      </c>
      <c r="H521" s="11"/>
      <c r="I521" s="11"/>
      <c r="J521" s="11">
        <v>0</v>
      </c>
      <c r="K521" s="11"/>
      <c r="L521" s="11">
        <v>233</v>
      </c>
      <c r="M521" s="71">
        <v>0</v>
      </c>
      <c r="P521" s="247"/>
    </row>
    <row r="522" spans="1:13" ht="24" customHeight="1">
      <c r="A522" s="28"/>
      <c r="B522" s="57"/>
      <c r="C522" s="75"/>
      <c r="D522" s="75"/>
      <c r="E522" s="75"/>
      <c r="F522" s="75"/>
      <c r="G522" s="75"/>
      <c r="H522" s="75"/>
      <c r="I522" s="75"/>
      <c r="J522" s="75"/>
      <c r="K522" s="75"/>
      <c r="L522" s="75"/>
      <c r="M522" s="75"/>
    </row>
    <row r="523" spans="1:13" ht="21" customHeight="1">
      <c r="A523" s="83"/>
      <c r="B523" s="93"/>
      <c r="C523" s="10"/>
      <c r="D523" s="10"/>
      <c r="E523" s="10"/>
      <c r="F523" s="10"/>
      <c r="G523" s="82"/>
      <c r="H523" s="10"/>
      <c r="I523" s="10"/>
      <c r="J523" s="10"/>
      <c r="K523" s="10"/>
      <c r="L523" s="10"/>
      <c r="M523" s="60"/>
    </row>
    <row r="524" spans="1:13" ht="24.75" customHeight="1">
      <c r="A524" s="28" t="s">
        <v>175</v>
      </c>
      <c r="B524" s="61" t="s">
        <v>180</v>
      </c>
      <c r="C524" s="11">
        <f>C528+C529+C530</f>
        <v>102473</v>
      </c>
      <c r="D524" s="11">
        <f aca="true" t="shared" si="67" ref="D524:M524">D528+D529+D530</f>
        <v>102473</v>
      </c>
      <c r="E524" s="11">
        <f t="shared" si="67"/>
        <v>5347</v>
      </c>
      <c r="F524" s="11">
        <f t="shared" si="67"/>
        <v>97126</v>
      </c>
      <c r="G524" s="11">
        <f t="shared" si="67"/>
        <v>97126</v>
      </c>
      <c r="H524" s="11">
        <f t="shared" si="67"/>
        <v>0</v>
      </c>
      <c r="I524" s="11">
        <f t="shared" si="67"/>
        <v>4258</v>
      </c>
      <c r="J524" s="11">
        <f t="shared" si="67"/>
        <v>74140</v>
      </c>
      <c r="K524" s="11">
        <f t="shared" si="67"/>
        <v>0</v>
      </c>
      <c r="L524" s="11">
        <f t="shared" si="67"/>
        <v>18728</v>
      </c>
      <c r="M524" s="11">
        <f t="shared" si="67"/>
        <v>0</v>
      </c>
    </row>
    <row r="525" spans="1:13" ht="24.75" customHeight="1">
      <c r="A525" s="28"/>
      <c r="B525" s="62" t="s">
        <v>181</v>
      </c>
      <c r="C525" s="11">
        <v>0</v>
      </c>
      <c r="D525" s="11">
        <v>0</v>
      </c>
      <c r="E525" s="11">
        <v>0</v>
      </c>
      <c r="F525" s="11">
        <v>0</v>
      </c>
      <c r="G525" s="11">
        <v>0</v>
      </c>
      <c r="H525" s="11">
        <v>0</v>
      </c>
      <c r="I525" s="11">
        <v>0</v>
      </c>
      <c r="J525" s="11">
        <v>0</v>
      </c>
      <c r="K525" s="11">
        <v>0</v>
      </c>
      <c r="L525" s="11">
        <v>0</v>
      </c>
      <c r="M525" s="11">
        <v>0</v>
      </c>
    </row>
    <row r="526" spans="1:13" ht="15.75">
      <c r="A526" s="72"/>
      <c r="B526" s="26" t="s">
        <v>178</v>
      </c>
      <c r="C526" s="10"/>
      <c r="D526" s="10"/>
      <c r="E526" s="10"/>
      <c r="F526" s="10"/>
      <c r="G526" s="10"/>
      <c r="H526" s="10"/>
      <c r="I526" s="10"/>
      <c r="J526" s="10"/>
      <c r="K526" s="10"/>
      <c r="L526" s="10"/>
      <c r="M526" s="77"/>
    </row>
    <row r="527" spans="1:13" ht="15.75">
      <c r="A527" s="72"/>
      <c r="B527" s="26"/>
      <c r="C527" s="10"/>
      <c r="D527" s="10"/>
      <c r="E527" s="10"/>
      <c r="F527" s="10"/>
      <c r="G527" s="10"/>
      <c r="H527" s="10"/>
      <c r="I527" s="10"/>
      <c r="J527" s="10"/>
      <c r="K527" s="10"/>
      <c r="L527" s="10"/>
      <c r="M527" s="77"/>
    </row>
    <row r="528" spans="1:13" ht="21" customHeight="1">
      <c r="A528" s="72"/>
      <c r="B528" s="34" t="s">
        <v>271</v>
      </c>
      <c r="C528" s="77">
        <f>'Studii si proiecte 2022'!D220</f>
        <v>15804</v>
      </c>
      <c r="D528" s="77">
        <f>'Studii si proiecte 2022'!E220</f>
        <v>15804</v>
      </c>
      <c r="E528" s="77">
        <f>'Studii si proiecte 2022'!F220</f>
        <v>1756</v>
      </c>
      <c r="F528" s="77">
        <f>'Studii si proiecte 2022'!G220</f>
        <v>14048</v>
      </c>
      <c r="G528" s="77">
        <f>'Studii si proiecte 2022'!H220</f>
        <v>14048</v>
      </c>
      <c r="H528" s="77">
        <f>'Studii si proiecte 2022'!I220</f>
        <v>0</v>
      </c>
      <c r="I528" s="77">
        <f>'Studii si proiecte 2022'!J220</f>
        <v>161</v>
      </c>
      <c r="J528" s="77">
        <f>'Studii si proiecte 2022'!K220</f>
        <v>160</v>
      </c>
      <c r="K528" s="77">
        <f>'Studii si proiecte 2022'!L220</f>
        <v>0</v>
      </c>
      <c r="L528" s="77">
        <f>'Studii si proiecte 2022'!M220</f>
        <v>13727</v>
      </c>
      <c r="M528" s="77">
        <f>'Studii si proiecte 2022'!N220</f>
        <v>0</v>
      </c>
    </row>
    <row r="529" spans="1:13" ht="21" customHeight="1">
      <c r="A529" s="72"/>
      <c r="B529" s="34" t="s">
        <v>197</v>
      </c>
      <c r="C529" s="77">
        <f>'Dotari 2022'!D155</f>
        <v>78077</v>
      </c>
      <c r="D529" s="77">
        <f>'Dotari 2022'!E155</f>
        <v>78077</v>
      </c>
      <c r="E529" s="77">
        <f>'Dotari 2022'!F155</f>
        <v>0</v>
      </c>
      <c r="F529" s="77">
        <f>'Dotari 2022'!G155</f>
        <v>78077</v>
      </c>
      <c r="G529" s="77">
        <f>'Dotari 2022'!H155</f>
        <v>78077</v>
      </c>
      <c r="H529" s="77">
        <f>'Dotari 2022'!I155</f>
        <v>0</v>
      </c>
      <c r="I529" s="77">
        <f>'Dotari 2022'!J155</f>
        <v>4097</v>
      </c>
      <c r="J529" s="77">
        <f>'Dotari 2022'!K155</f>
        <v>73980</v>
      </c>
      <c r="K529" s="77">
        <f>'Dotari 2022'!L155</f>
        <v>0</v>
      </c>
      <c r="L529" s="77">
        <f>'Dotari 2022'!M155</f>
        <v>0</v>
      </c>
      <c r="M529" s="77">
        <f>'Dotari 2022'!N155</f>
        <v>0</v>
      </c>
    </row>
    <row r="530" spans="1:13" ht="21" customHeight="1">
      <c r="A530" s="72"/>
      <c r="B530" s="34" t="s">
        <v>269</v>
      </c>
      <c r="C530" s="77">
        <f>'Alte chelt 2022'!D84</f>
        <v>8592</v>
      </c>
      <c r="D530" s="77">
        <f>'Alte chelt 2022'!E84</f>
        <v>8592</v>
      </c>
      <c r="E530" s="77">
        <f>'Alte chelt 2022'!F84</f>
        <v>3591</v>
      </c>
      <c r="F530" s="77">
        <f>'Alte chelt 2022'!G84</f>
        <v>5001</v>
      </c>
      <c r="G530" s="77">
        <f>'Alte chelt 2022'!H84</f>
        <v>5001</v>
      </c>
      <c r="H530" s="77">
        <f>'Alte chelt 2022'!I84</f>
        <v>0</v>
      </c>
      <c r="I530" s="77">
        <f>'Alte chelt 2022'!J84</f>
        <v>0</v>
      </c>
      <c r="J530" s="77">
        <f>'Alte chelt 2022'!K84</f>
        <v>0</v>
      </c>
      <c r="K530" s="77">
        <f>'Alte chelt 2022'!L84</f>
        <v>0</v>
      </c>
      <c r="L530" s="77">
        <f>'Alte chelt 2022'!M84</f>
        <v>5001</v>
      </c>
      <c r="M530" s="77">
        <f>'Alte chelt 2022'!N84</f>
        <v>0</v>
      </c>
    </row>
    <row r="531" spans="1:13" ht="21" customHeight="1">
      <c r="A531" s="72"/>
      <c r="B531" s="34"/>
      <c r="C531" s="77"/>
      <c r="D531" s="77"/>
      <c r="E531" s="77"/>
      <c r="F531" s="77"/>
      <c r="G531" s="77"/>
      <c r="H531" s="77"/>
      <c r="I531" s="77"/>
      <c r="J531" s="77"/>
      <c r="K531" s="77"/>
      <c r="L531" s="77"/>
      <c r="M531" s="77"/>
    </row>
    <row r="532" spans="1:13" ht="50.25" customHeight="1">
      <c r="A532" s="21"/>
      <c r="B532" s="22" t="s">
        <v>383</v>
      </c>
      <c r="C532" s="23" t="s">
        <v>384</v>
      </c>
      <c r="D532" s="24"/>
      <c r="E532" s="24"/>
      <c r="F532" s="24"/>
      <c r="G532" s="10"/>
      <c r="H532" s="10"/>
      <c r="I532" s="10"/>
      <c r="J532" s="10"/>
      <c r="K532" s="10"/>
      <c r="L532" s="10"/>
      <c r="M532" s="10" t="s">
        <v>185</v>
      </c>
    </row>
    <row r="533" spans="1:13" ht="16.5" customHeight="1">
      <c r="A533" s="25"/>
      <c r="B533" s="26" t="s">
        <v>178</v>
      </c>
      <c r="C533" s="58">
        <f>C536+C539+C542</f>
        <v>100</v>
      </c>
      <c r="D533" s="58">
        <f aca="true" t="shared" si="68" ref="D533:M533">D536+D539+D542</f>
        <v>100</v>
      </c>
      <c r="E533" s="58">
        <f t="shared" si="68"/>
        <v>0</v>
      </c>
      <c r="F533" s="58">
        <f t="shared" si="68"/>
        <v>100</v>
      </c>
      <c r="G533" s="58">
        <f t="shared" si="68"/>
        <v>100</v>
      </c>
      <c r="H533" s="58">
        <f t="shared" si="68"/>
        <v>0</v>
      </c>
      <c r="I533" s="58">
        <f t="shared" si="68"/>
        <v>0</v>
      </c>
      <c r="J533" s="58">
        <f t="shared" si="68"/>
        <v>0</v>
      </c>
      <c r="K533" s="58">
        <f t="shared" si="68"/>
        <v>0</v>
      </c>
      <c r="L533" s="58">
        <f t="shared" si="68"/>
        <v>100</v>
      </c>
      <c r="M533" s="58">
        <f t="shared" si="68"/>
        <v>0</v>
      </c>
    </row>
    <row r="534" spans="1:13" ht="16.5" customHeight="1">
      <c r="A534" s="28"/>
      <c r="B534" s="29"/>
      <c r="C534" s="58">
        <f>C537+C540+C543</f>
        <v>0</v>
      </c>
      <c r="D534" s="58">
        <f aca="true" t="shared" si="69" ref="D534:M534">D537+D540+D543</f>
        <v>0</v>
      </c>
      <c r="E534" s="58">
        <f t="shared" si="69"/>
        <v>0</v>
      </c>
      <c r="F534" s="58">
        <f t="shared" si="69"/>
        <v>0</v>
      </c>
      <c r="G534" s="58">
        <f t="shared" si="69"/>
        <v>0</v>
      </c>
      <c r="H534" s="58">
        <f t="shared" si="69"/>
        <v>0</v>
      </c>
      <c r="I534" s="58">
        <f t="shared" si="69"/>
        <v>0</v>
      </c>
      <c r="J534" s="58">
        <f t="shared" si="69"/>
        <v>0</v>
      </c>
      <c r="K534" s="58">
        <f t="shared" si="69"/>
        <v>0</v>
      </c>
      <c r="L534" s="58">
        <f t="shared" si="69"/>
        <v>0</v>
      </c>
      <c r="M534" s="58">
        <f t="shared" si="69"/>
        <v>0</v>
      </c>
    </row>
    <row r="535" spans="1:13" ht="16.5" customHeight="1">
      <c r="A535" s="59"/>
      <c r="C535" s="24"/>
      <c r="D535" s="24"/>
      <c r="E535" s="24"/>
      <c r="F535" s="24"/>
      <c r="G535" s="184"/>
      <c r="H535" s="24"/>
      <c r="I535" s="24"/>
      <c r="J535" s="24"/>
      <c r="K535" s="24"/>
      <c r="L535" s="24"/>
      <c r="M535" s="24"/>
    </row>
    <row r="536" spans="1:13" ht="16.5" customHeight="1">
      <c r="A536" s="28" t="s">
        <v>170</v>
      </c>
      <c r="B536" s="61" t="s">
        <v>171</v>
      </c>
      <c r="C536" s="71">
        <v>0</v>
      </c>
      <c r="D536" s="71">
        <v>0</v>
      </c>
      <c r="E536" s="71">
        <v>0</v>
      </c>
      <c r="F536" s="71">
        <f>D536-E536</f>
        <v>0</v>
      </c>
      <c r="G536" s="71">
        <f>SUM(H536:M536)</f>
        <v>0</v>
      </c>
      <c r="H536" s="71">
        <v>0</v>
      </c>
      <c r="I536" s="71">
        <v>0</v>
      </c>
      <c r="J536" s="71">
        <v>0</v>
      </c>
      <c r="K536" s="71">
        <v>0</v>
      </c>
      <c r="L536" s="71">
        <v>0</v>
      </c>
      <c r="M536" s="71">
        <v>0</v>
      </c>
    </row>
    <row r="537" spans="1:13" ht="16.5" customHeight="1">
      <c r="A537" s="28"/>
      <c r="B537" s="62" t="s">
        <v>172</v>
      </c>
      <c r="C537" s="71">
        <v>0</v>
      </c>
      <c r="D537" s="71">
        <v>0</v>
      </c>
      <c r="E537" s="71">
        <v>0</v>
      </c>
      <c r="F537" s="71">
        <f>D537-E537</f>
        <v>0</v>
      </c>
      <c r="G537" s="71">
        <f>SUM(H537:M537)</f>
        <v>0</v>
      </c>
      <c r="H537" s="71">
        <v>0</v>
      </c>
      <c r="I537" s="71">
        <v>0</v>
      </c>
      <c r="J537" s="71">
        <v>0</v>
      </c>
      <c r="K537" s="71">
        <v>0</v>
      </c>
      <c r="L537" s="71">
        <v>0</v>
      </c>
      <c r="M537" s="71">
        <v>0</v>
      </c>
    </row>
    <row r="538" spans="1:13" ht="16.5" customHeight="1">
      <c r="A538" s="28"/>
      <c r="C538" s="24"/>
      <c r="D538" s="24"/>
      <c r="E538" s="24"/>
      <c r="F538" s="24"/>
      <c r="G538" s="184"/>
      <c r="H538" s="24"/>
      <c r="I538" s="24"/>
      <c r="J538" s="60"/>
      <c r="K538" s="60"/>
      <c r="L538" s="24"/>
      <c r="M538" s="24"/>
    </row>
    <row r="539" spans="1:13" ht="16.5" customHeight="1">
      <c r="A539" s="28" t="s">
        <v>173</v>
      </c>
      <c r="B539" s="61" t="s">
        <v>179</v>
      </c>
      <c r="C539" s="71">
        <v>0</v>
      </c>
      <c r="D539" s="71">
        <v>0</v>
      </c>
      <c r="E539" s="71">
        <v>0</v>
      </c>
      <c r="F539" s="71">
        <f>D539-E539</f>
        <v>0</v>
      </c>
      <c r="G539" s="71">
        <f>SUM(H539:M539)</f>
        <v>0</v>
      </c>
      <c r="H539" s="71">
        <v>0</v>
      </c>
      <c r="I539" s="71">
        <v>0</v>
      </c>
      <c r="J539" s="71">
        <v>0</v>
      </c>
      <c r="K539" s="71">
        <v>0</v>
      </c>
      <c r="L539" s="71">
        <v>0</v>
      </c>
      <c r="M539" s="71">
        <v>0</v>
      </c>
    </row>
    <row r="540" spans="1:13" ht="16.5" customHeight="1">
      <c r="A540" s="28"/>
      <c r="B540" s="62" t="s">
        <v>174</v>
      </c>
      <c r="C540" s="71">
        <v>0</v>
      </c>
      <c r="D540" s="71">
        <v>0</v>
      </c>
      <c r="E540" s="71">
        <v>0</v>
      </c>
      <c r="F540" s="71">
        <f>D540-E540</f>
        <v>0</v>
      </c>
      <c r="G540" s="71">
        <f>SUM(H540:M540)</f>
        <v>0</v>
      </c>
      <c r="H540" s="71">
        <v>0</v>
      </c>
      <c r="I540" s="71">
        <v>0</v>
      </c>
      <c r="J540" s="71">
        <v>0</v>
      </c>
      <c r="K540" s="71">
        <v>0</v>
      </c>
      <c r="L540" s="71">
        <v>0</v>
      </c>
      <c r="M540" s="71">
        <v>0</v>
      </c>
    </row>
    <row r="541" spans="1:13" ht="16.5" customHeight="1">
      <c r="A541" s="28"/>
      <c r="B541" s="57"/>
      <c r="C541" s="60"/>
      <c r="D541" s="60"/>
      <c r="E541" s="60"/>
      <c r="F541" s="60"/>
      <c r="G541" s="60"/>
      <c r="H541" s="60"/>
      <c r="I541" s="60"/>
      <c r="J541" s="60"/>
      <c r="K541" s="60"/>
      <c r="L541" s="60"/>
      <c r="M541" s="60"/>
    </row>
    <row r="542" spans="1:13" ht="16.5" customHeight="1">
      <c r="A542" s="28" t="s">
        <v>175</v>
      </c>
      <c r="B542" s="61" t="s">
        <v>276</v>
      </c>
      <c r="C542" s="71">
        <f>C545+C546+C547</f>
        <v>100</v>
      </c>
      <c r="D542" s="71">
        <f aca="true" t="shared" si="70" ref="D542:M542">D545+D546+D547</f>
        <v>100</v>
      </c>
      <c r="E542" s="71">
        <f t="shared" si="70"/>
        <v>0</v>
      </c>
      <c r="F542" s="71">
        <f t="shared" si="70"/>
        <v>100</v>
      </c>
      <c r="G542" s="71">
        <f t="shared" si="70"/>
        <v>100</v>
      </c>
      <c r="H542" s="71">
        <f t="shared" si="70"/>
        <v>0</v>
      </c>
      <c r="I542" s="71">
        <f t="shared" si="70"/>
        <v>0</v>
      </c>
      <c r="J542" s="71">
        <f t="shared" si="70"/>
        <v>0</v>
      </c>
      <c r="K542" s="71">
        <f t="shared" si="70"/>
        <v>0</v>
      </c>
      <c r="L542" s="71">
        <f t="shared" si="70"/>
        <v>100</v>
      </c>
      <c r="M542" s="71">
        <f t="shared" si="70"/>
        <v>0</v>
      </c>
    </row>
    <row r="543" spans="1:13" ht="16.5" customHeight="1">
      <c r="A543" s="28"/>
      <c r="B543" s="62" t="s">
        <v>181</v>
      </c>
      <c r="C543" s="60"/>
      <c r="D543" s="60"/>
      <c r="E543" s="60"/>
      <c r="F543" s="60"/>
      <c r="G543" s="60"/>
      <c r="H543" s="60"/>
      <c r="I543" s="60"/>
      <c r="J543" s="60"/>
      <c r="K543" s="60"/>
      <c r="L543" s="60"/>
      <c r="M543" s="60"/>
    </row>
    <row r="544" spans="1:13" ht="16.5" customHeight="1">
      <c r="A544" s="59"/>
      <c r="B544" s="26" t="s">
        <v>178</v>
      </c>
      <c r="C544" s="24"/>
      <c r="D544" s="14"/>
      <c r="E544" s="14"/>
      <c r="F544" s="14"/>
      <c r="G544" s="14"/>
      <c r="H544" s="14"/>
      <c r="I544" s="14"/>
      <c r="J544" s="14"/>
      <c r="K544" s="14"/>
      <c r="L544" s="24"/>
      <c r="M544" s="24"/>
    </row>
    <row r="545" spans="1:13" ht="16.5" customHeight="1">
      <c r="A545" s="72"/>
      <c r="B545" s="34" t="s">
        <v>152</v>
      </c>
      <c r="C545" s="24">
        <f>'Studii si proiecte 2022'!D489</f>
        <v>0</v>
      </c>
      <c r="D545" s="24">
        <f>'Studii si proiecte 2022'!D489</f>
        <v>0</v>
      </c>
      <c r="E545" s="24">
        <f>'Studii si proiecte 2022'!F489</f>
        <v>0</v>
      </c>
      <c r="F545" s="24">
        <f>'Studii si proiecte 2022'!G489</f>
        <v>0</v>
      </c>
      <c r="G545" s="24">
        <f>'Studii si proiecte 2022'!H489</f>
        <v>0</v>
      </c>
      <c r="H545" s="24">
        <v>0</v>
      </c>
      <c r="I545" s="24">
        <v>0</v>
      </c>
      <c r="J545" s="24">
        <f>'Studii si proiecte 2022'!K489</f>
        <v>0</v>
      </c>
      <c r="K545" s="24">
        <v>0</v>
      </c>
      <c r="L545" s="24">
        <f>'Studii si proiecte 2022'!M489</f>
        <v>0</v>
      </c>
      <c r="M545" s="24">
        <v>0</v>
      </c>
    </row>
    <row r="546" spans="1:13" ht="16.5" customHeight="1">
      <c r="A546" s="73"/>
      <c r="B546" s="194" t="s">
        <v>267</v>
      </c>
      <c r="C546" s="74">
        <f>'Dotari 2022'!D160</f>
        <v>100</v>
      </c>
      <c r="D546" s="74">
        <f>'Dotari 2022'!E160</f>
        <v>100</v>
      </c>
      <c r="E546" s="74">
        <f>'Dotari 2022'!F160</f>
        <v>0</v>
      </c>
      <c r="F546" s="74">
        <f>'Dotari 2022'!G160</f>
        <v>100</v>
      </c>
      <c r="G546" s="74">
        <f>'Dotari 2022'!H160</f>
        <v>100</v>
      </c>
      <c r="H546" s="74">
        <f>'Dotari 2022'!I160</f>
        <v>0</v>
      </c>
      <c r="I546" s="74">
        <f>'Dotari 2022'!J160</f>
        <v>0</v>
      </c>
      <c r="J546" s="74">
        <f>'Dotari 2022'!K160</f>
        <v>0</v>
      </c>
      <c r="K546" s="74">
        <f>'Dotari 2022'!L160</f>
        <v>0</v>
      </c>
      <c r="L546" s="74">
        <f>'Dotari 2022'!M160</f>
        <v>100</v>
      </c>
      <c r="M546" s="74">
        <f>'Dotari 2022'!N160</f>
        <v>0</v>
      </c>
    </row>
    <row r="547" spans="1:13" ht="16.5" customHeight="1">
      <c r="A547" s="73"/>
      <c r="B547" s="194" t="s">
        <v>262</v>
      </c>
      <c r="C547" s="74">
        <f>'Alte chelt 2022'!D465</f>
        <v>0</v>
      </c>
      <c r="D547" s="74">
        <f>'Alte chelt 2022'!E465</f>
        <v>0</v>
      </c>
      <c r="E547" s="74">
        <f>'Alte chelt 2022'!F465</f>
        <v>0</v>
      </c>
      <c r="F547" s="74">
        <f>'Alte chelt 2022'!G465</f>
        <v>0</v>
      </c>
      <c r="G547" s="74">
        <f>'Alte chelt 2022'!H465</f>
        <v>0</v>
      </c>
      <c r="H547" s="74">
        <f>'Alte chelt 2022'!I465</f>
        <v>0</v>
      </c>
      <c r="I547" s="74">
        <f>'Alte chelt 2022'!J465</f>
        <v>0</v>
      </c>
      <c r="J547" s="74">
        <f>'Alte chelt 2022'!K465</f>
        <v>0</v>
      </c>
      <c r="K547" s="74">
        <f>'Alte chelt 2022'!L465</f>
        <v>0</v>
      </c>
      <c r="L547" s="74">
        <f>'Alte chelt 2022'!M465</f>
        <v>0</v>
      </c>
      <c r="M547" s="74">
        <f>'Alte chelt 2022'!N465</f>
        <v>0</v>
      </c>
    </row>
    <row r="548" spans="1:14" ht="16.5" customHeight="1">
      <c r="A548" s="359"/>
      <c r="B548" s="360"/>
      <c r="C548" s="361"/>
      <c r="D548" s="362"/>
      <c r="E548" s="362"/>
      <c r="F548" s="362"/>
      <c r="G548" s="362"/>
      <c r="H548" s="362"/>
      <c r="I548" s="362"/>
      <c r="J548" s="362"/>
      <c r="K548" s="362"/>
      <c r="L548" s="362"/>
      <c r="M548" s="362"/>
      <c r="N548" s="362"/>
    </row>
    <row r="549" spans="1:14" ht="15.75">
      <c r="A549" s="359"/>
      <c r="B549" s="201"/>
      <c r="C549" s="300" t="s">
        <v>393</v>
      </c>
      <c r="D549" s="219"/>
      <c r="E549" s="394" t="s">
        <v>303</v>
      </c>
      <c r="F549" s="219"/>
      <c r="G549" s="219"/>
      <c r="H549" s="219"/>
      <c r="I549" s="219"/>
      <c r="J549" s="284" t="s">
        <v>412</v>
      </c>
      <c r="K549" s="219"/>
      <c r="L549" s="202"/>
      <c r="M549" s="362"/>
      <c r="N549" s="362"/>
    </row>
    <row r="550" spans="1:14" ht="15.75">
      <c r="A550" s="365"/>
      <c r="B550" s="201"/>
      <c r="C550" s="300" t="s">
        <v>392</v>
      </c>
      <c r="D550" s="220"/>
      <c r="E550" s="202"/>
      <c r="F550" s="220"/>
      <c r="G550" s="220"/>
      <c r="H550" s="209"/>
      <c r="I550" s="220"/>
      <c r="J550" s="201" t="s">
        <v>296</v>
      </c>
      <c r="K550" s="220"/>
      <c r="L550" s="202"/>
      <c r="M550" s="391"/>
      <c r="N550" s="392"/>
    </row>
    <row r="551" spans="1:14" ht="15.75">
      <c r="A551" s="368"/>
      <c r="B551" s="211"/>
      <c r="C551" s="202"/>
      <c r="D551" s="202"/>
      <c r="E551" s="220"/>
      <c r="F551" s="202"/>
      <c r="G551" s="202"/>
      <c r="H551" s="395" t="s">
        <v>305</v>
      </c>
      <c r="I551" s="212"/>
      <c r="J551" s="209"/>
      <c r="K551" s="202"/>
      <c r="L551" s="202"/>
      <c r="M551" s="367"/>
      <c r="N551" s="392"/>
    </row>
    <row r="552" spans="1:14" ht="15.75">
      <c r="A552" s="368"/>
      <c r="B552" s="211"/>
      <c r="C552" s="234" t="s">
        <v>302</v>
      </c>
      <c r="D552" s="211"/>
      <c r="E552" s="211"/>
      <c r="F552" s="211"/>
      <c r="G552" s="202"/>
      <c r="H552" s="210" t="s">
        <v>410</v>
      </c>
      <c r="I552" s="201"/>
      <c r="J552" s="209"/>
      <c r="K552" s="201" t="s">
        <v>297</v>
      </c>
      <c r="L552" s="202"/>
      <c r="M552" s="367"/>
      <c r="N552" s="392"/>
    </row>
    <row r="553" spans="1:14" ht="15.75">
      <c r="A553" s="370"/>
      <c r="B553" s="211"/>
      <c r="C553" s="234" t="s">
        <v>313</v>
      </c>
      <c r="D553" s="211"/>
      <c r="E553" s="283"/>
      <c r="F553" s="202"/>
      <c r="G553" s="202"/>
      <c r="H553" s="220"/>
      <c r="I553" s="396" t="s">
        <v>406</v>
      </c>
      <c r="J553" s="284"/>
      <c r="K553" s="230" t="s">
        <v>298</v>
      </c>
      <c r="L553" s="202"/>
      <c r="M553" s="367"/>
      <c r="N553" s="392"/>
    </row>
    <row r="554" spans="1:14" ht="15.75">
      <c r="A554" s="370"/>
      <c r="B554" s="201"/>
      <c r="C554" s="201"/>
      <c r="D554" s="239"/>
      <c r="E554" s="201"/>
      <c r="F554" s="230"/>
      <c r="G554" s="201"/>
      <c r="H554" s="239"/>
      <c r="I554" s="283"/>
      <c r="J554" s="201"/>
      <c r="K554" s="201"/>
      <c r="L554" s="230"/>
      <c r="M554" s="372"/>
      <c r="N554" s="372"/>
    </row>
    <row r="555" spans="1:14" ht="15">
      <c r="A555" s="369"/>
      <c r="B555" s="369"/>
      <c r="C555" s="369"/>
      <c r="D555" s="369"/>
      <c r="E555" s="369"/>
      <c r="F555" s="393"/>
      <c r="G555" s="369"/>
      <c r="H555" s="369"/>
      <c r="I555" s="369"/>
      <c r="J555" s="369"/>
      <c r="K555" s="390"/>
      <c r="L555" s="367"/>
      <c r="M555" s="366"/>
      <c r="N555" s="392"/>
    </row>
    <row r="556" spans="1:14" ht="13.5">
      <c r="A556" s="12"/>
      <c r="B556" s="12"/>
      <c r="C556" s="12"/>
      <c r="D556" s="12"/>
      <c r="E556" s="12"/>
      <c r="F556" s="12"/>
      <c r="G556" s="12"/>
      <c r="H556" s="12"/>
      <c r="I556" s="12"/>
      <c r="J556" s="15"/>
      <c r="K556" s="12"/>
      <c r="L556" s="12"/>
      <c r="M556" s="162"/>
      <c r="N556" s="12"/>
    </row>
    <row r="557" spans="1:14" ht="12.75">
      <c r="A557" s="12"/>
      <c r="B557" s="218"/>
      <c r="C557" s="12"/>
      <c r="D557" s="12"/>
      <c r="E557" s="12"/>
      <c r="F557" s="12"/>
      <c r="G557" s="12"/>
      <c r="H557" s="12"/>
      <c r="I557" s="12"/>
      <c r="J557" s="12"/>
      <c r="K557" s="12"/>
      <c r="L557" s="12"/>
      <c r="M557" s="162"/>
      <c r="N557" s="12"/>
    </row>
    <row r="558" spans="4:14" ht="15">
      <c r="D558" s="15"/>
      <c r="E558" s="15"/>
      <c r="F558" s="15"/>
      <c r="G558" s="15"/>
      <c r="H558" s="116"/>
      <c r="I558" s="116"/>
      <c r="J558" s="15"/>
      <c r="K558" s="15"/>
      <c r="L558" s="15"/>
      <c r="M558" s="15"/>
      <c r="N558" s="15"/>
    </row>
    <row r="559" spans="4:14" ht="15">
      <c r="D559" s="15"/>
      <c r="E559" s="15"/>
      <c r="F559" s="15"/>
      <c r="G559" s="15"/>
      <c r="H559" s="116"/>
      <c r="I559" s="116"/>
      <c r="J559" s="15"/>
      <c r="K559" s="15"/>
      <c r="L559" s="15"/>
      <c r="M559" s="15"/>
      <c r="N559" s="15"/>
    </row>
    <row r="560" spans="1:14" ht="13.5">
      <c r="A560" s="15"/>
      <c r="B560" s="15"/>
      <c r="C560" s="15"/>
      <c r="D560" s="15"/>
      <c r="E560" s="15"/>
      <c r="F560" s="15"/>
      <c r="G560" s="15"/>
      <c r="H560" s="116"/>
      <c r="I560" s="116"/>
      <c r="J560" s="15"/>
      <c r="K560" s="15"/>
      <c r="L560" s="15"/>
      <c r="M560" s="15"/>
      <c r="N560" s="15"/>
    </row>
  </sheetData>
  <sheetProtection/>
  <mergeCells count="3">
    <mergeCell ref="G12:M12"/>
    <mergeCell ref="H13:M13"/>
    <mergeCell ref="A8:M8"/>
  </mergeCells>
  <printOptions/>
  <pageMargins left="0.2755905511811024" right="0.15748031496062992" top="0.7480314960629921" bottom="0.7874015748031497" header="0.31496062992125984" footer="0.7874015748031497"/>
  <pageSetup fitToHeight="6" horizontalDpi="600" verticalDpi="600" orientation="landscape" paperSize="9" scale="89" r:id="rId2"/>
  <headerFooter alignWithMargins="0">
    <oddFooter xml:space="preserve">&amp;C&amp;8Pagina &amp;P din &amp;N&amp;R&amp;8(L1) HCL nr. din
Lista  obiectelor de investiții 
 </oddFooter>
  </headerFooter>
  <drawing r:id="rId1"/>
</worksheet>
</file>

<file path=xl/worksheets/sheet3.xml><?xml version="1.0" encoding="utf-8"?>
<worksheet xmlns="http://schemas.openxmlformats.org/spreadsheetml/2006/main" xmlns:r="http://schemas.openxmlformats.org/officeDocument/2006/relationships">
  <sheetPr>
    <tabColor indexed="46"/>
  </sheetPr>
  <dimension ref="A1:V233"/>
  <sheetViews>
    <sheetView zoomScale="115" zoomScaleNormal="115" zoomScaleSheetLayoutView="100" zoomScalePageLayoutView="0" workbookViewId="0" topLeftCell="A1">
      <selection activeCell="O220" sqref="A1:O220"/>
    </sheetView>
  </sheetViews>
  <sheetFormatPr defaultColWidth="9.140625" defaultRowHeight="12.75"/>
  <cols>
    <col min="1" max="1" width="4.140625" style="12" customWidth="1"/>
    <col min="2" max="2" width="41.8515625" style="12" customWidth="1"/>
    <col min="3" max="3" width="9.7109375" style="104" customWidth="1"/>
    <col min="4" max="4" width="7.421875" style="12" customWidth="1"/>
    <col min="5" max="5" width="8.57421875" style="12" customWidth="1"/>
    <col min="6" max="6" width="9.28125" style="12" customWidth="1"/>
    <col min="7" max="7" width="7.8515625" style="12" customWidth="1"/>
    <col min="8" max="8" width="8.140625" style="12" customWidth="1"/>
    <col min="9" max="10" width="5.57421875" style="12" customWidth="1"/>
    <col min="11" max="11" width="6.00390625" style="12" customWidth="1"/>
    <col min="12" max="12" width="7.57421875" style="12" customWidth="1"/>
    <col min="13" max="13" width="7.421875" style="12" customWidth="1"/>
    <col min="14" max="14" width="5.7109375" style="12" customWidth="1"/>
    <col min="15" max="15" width="5.57421875" style="102" bestFit="1" customWidth="1"/>
    <col min="16" max="16" width="9.140625" style="12" customWidth="1"/>
    <col min="17" max="17" width="10.140625" style="12" bestFit="1" customWidth="1"/>
    <col min="18" max="16384" width="9.140625" style="12" customWidth="1"/>
  </cols>
  <sheetData>
    <row r="1" spans="1:14" ht="14.25">
      <c r="A1" s="100"/>
      <c r="B1" s="101"/>
      <c r="D1" s="181"/>
      <c r="E1" s="181"/>
      <c r="G1" s="111"/>
      <c r="H1" s="181"/>
      <c r="I1" s="181"/>
      <c r="J1" s="181"/>
      <c r="K1" s="274"/>
      <c r="N1" s="182" t="s">
        <v>248</v>
      </c>
    </row>
    <row r="2" spans="1:12" ht="14.25">
      <c r="A2" s="100"/>
      <c r="B2" s="103"/>
      <c r="C2" s="303"/>
      <c r="D2" s="291" t="s">
        <v>193</v>
      </c>
      <c r="E2" s="291"/>
      <c r="F2" s="210"/>
      <c r="G2" s="291" t="s">
        <v>244</v>
      </c>
      <c r="H2" s="291"/>
      <c r="I2" s="291"/>
      <c r="J2" s="291"/>
      <c r="K2" s="291" t="s">
        <v>194</v>
      </c>
      <c r="L2" s="210"/>
    </row>
    <row r="3" spans="1:12" ht="14.25">
      <c r="A3" s="100"/>
      <c r="B3" s="103"/>
      <c r="C3" s="303"/>
      <c r="D3" s="291" t="s">
        <v>143</v>
      </c>
      <c r="E3" s="291"/>
      <c r="F3" s="210"/>
      <c r="G3" s="209"/>
      <c r="H3" s="291"/>
      <c r="I3" s="291"/>
      <c r="J3" s="291"/>
      <c r="K3" s="291" t="s">
        <v>257</v>
      </c>
      <c r="L3" s="210"/>
    </row>
    <row r="4" spans="1:13" ht="15" customHeight="1">
      <c r="A4" s="100"/>
      <c r="B4" s="103"/>
      <c r="C4" s="303"/>
      <c r="D4" s="291" t="s">
        <v>12</v>
      </c>
      <c r="E4" s="291"/>
      <c r="F4" s="301"/>
      <c r="G4" s="201"/>
      <c r="H4" s="201"/>
      <c r="I4" s="201"/>
      <c r="J4" s="201"/>
      <c r="K4" s="291" t="s">
        <v>312</v>
      </c>
      <c r="L4" s="210"/>
      <c r="M4" s="105"/>
    </row>
    <row r="5" spans="1:13" ht="13.5" customHeight="1">
      <c r="A5" s="100"/>
      <c r="B5" s="277" t="s">
        <v>462</v>
      </c>
      <c r="C5" s="303"/>
      <c r="D5" s="303" t="s">
        <v>144</v>
      </c>
      <c r="E5" s="210"/>
      <c r="F5" s="210"/>
      <c r="G5" s="210"/>
      <c r="H5" s="210"/>
      <c r="I5" s="210"/>
      <c r="J5" s="210"/>
      <c r="K5" s="210"/>
      <c r="L5" s="210"/>
      <c r="M5" s="105"/>
    </row>
    <row r="6" spans="1:14" ht="54.75" customHeight="1">
      <c r="A6" s="405" t="s">
        <v>463</v>
      </c>
      <c r="B6" s="404"/>
      <c r="C6" s="404"/>
      <c r="D6" s="404"/>
      <c r="E6" s="404"/>
      <c r="F6" s="404"/>
      <c r="G6" s="404"/>
      <c r="H6" s="404"/>
      <c r="I6" s="404"/>
      <c r="J6" s="404"/>
      <c r="K6" s="404"/>
      <c r="L6" s="404"/>
      <c r="M6" s="404"/>
      <c r="N6" s="404"/>
    </row>
    <row r="7" spans="1:14" ht="32.25" customHeight="1">
      <c r="A7" s="287"/>
      <c r="B7" s="286"/>
      <c r="C7" s="286"/>
      <c r="D7" s="286"/>
      <c r="E7" s="286"/>
      <c r="F7" s="286"/>
      <c r="G7" s="286"/>
      <c r="H7" s="286"/>
      <c r="I7" s="286"/>
      <c r="J7" s="286"/>
      <c r="K7" s="286"/>
      <c r="L7" s="286"/>
      <c r="M7" s="286"/>
      <c r="N7" s="286"/>
    </row>
    <row r="8" spans="1:15" s="110" customFormat="1" ht="51.75" customHeight="1" thickBot="1">
      <c r="A8" s="106" t="s">
        <v>272</v>
      </c>
      <c r="B8" s="13"/>
      <c r="C8" s="107"/>
      <c r="D8" s="108"/>
      <c r="E8" s="108"/>
      <c r="F8" s="13"/>
      <c r="G8" s="13"/>
      <c r="H8" s="13"/>
      <c r="I8" s="13"/>
      <c r="J8" s="13"/>
      <c r="K8" s="13"/>
      <c r="L8" s="105"/>
      <c r="M8" s="13"/>
      <c r="N8" s="109" t="s">
        <v>185</v>
      </c>
      <c r="O8" s="102"/>
    </row>
    <row r="9" spans="1:15" s="110" customFormat="1" ht="60.75" thickBot="1">
      <c r="A9" s="293" t="s">
        <v>186</v>
      </c>
      <c r="B9" s="294" t="s">
        <v>188</v>
      </c>
      <c r="C9" s="295" t="s">
        <v>223</v>
      </c>
      <c r="D9" s="294" t="s">
        <v>457</v>
      </c>
      <c r="E9" s="296" t="s">
        <v>220</v>
      </c>
      <c r="F9" s="297" t="s">
        <v>458</v>
      </c>
      <c r="G9" s="297" t="s">
        <v>278</v>
      </c>
      <c r="H9" s="297" t="s">
        <v>459</v>
      </c>
      <c r="I9" s="125" t="s">
        <v>222</v>
      </c>
      <c r="J9" s="126" t="s">
        <v>221</v>
      </c>
      <c r="K9" s="298" t="s">
        <v>254</v>
      </c>
      <c r="L9" s="297" t="s">
        <v>432</v>
      </c>
      <c r="M9" s="297" t="s">
        <v>192</v>
      </c>
      <c r="N9" s="299" t="s">
        <v>204</v>
      </c>
      <c r="O9" s="102"/>
    </row>
    <row r="10" spans="1:15" s="110" customFormat="1" ht="52.5">
      <c r="A10" s="337">
        <v>1</v>
      </c>
      <c r="B10" s="319" t="s">
        <v>525</v>
      </c>
      <c r="C10" s="306" t="s">
        <v>526</v>
      </c>
      <c r="D10" s="255">
        <v>161</v>
      </c>
      <c r="E10" s="316">
        <f aca="true" t="shared" si="0" ref="E10:E20">D10</f>
        <v>161</v>
      </c>
      <c r="F10" s="316">
        <v>0</v>
      </c>
      <c r="G10" s="255">
        <f aca="true" t="shared" si="1" ref="G10:G32">D10-F10</f>
        <v>161</v>
      </c>
      <c r="H10" s="257">
        <f aca="true" t="shared" si="2" ref="H10:H20">SUM(K10:N10)</f>
        <v>161</v>
      </c>
      <c r="I10" s="237"/>
      <c r="J10" s="237"/>
      <c r="K10" s="316"/>
      <c r="L10" s="316"/>
      <c r="M10" s="316">
        <v>161</v>
      </c>
      <c r="N10" s="255"/>
      <c r="O10" s="112" t="s">
        <v>203</v>
      </c>
    </row>
    <row r="11" spans="1:15" s="110" customFormat="1" ht="54">
      <c r="A11" s="337">
        <v>2</v>
      </c>
      <c r="B11" s="319" t="s">
        <v>527</v>
      </c>
      <c r="C11" s="306" t="s">
        <v>526</v>
      </c>
      <c r="D11" s="255">
        <v>155</v>
      </c>
      <c r="E11" s="316">
        <f t="shared" si="0"/>
        <v>155</v>
      </c>
      <c r="F11" s="316">
        <v>0</v>
      </c>
      <c r="G11" s="255">
        <f t="shared" si="1"/>
        <v>155</v>
      </c>
      <c r="H11" s="257">
        <f t="shared" si="2"/>
        <v>155</v>
      </c>
      <c r="I11" s="237"/>
      <c r="J11" s="237"/>
      <c r="K11" s="316"/>
      <c r="L11" s="316"/>
      <c r="M11" s="316">
        <v>155</v>
      </c>
      <c r="N11" s="255"/>
      <c r="O11" s="112" t="s">
        <v>203</v>
      </c>
    </row>
    <row r="12" spans="1:15" s="110" customFormat="1" ht="52.5">
      <c r="A12" s="337">
        <v>3</v>
      </c>
      <c r="B12" s="319" t="s">
        <v>528</v>
      </c>
      <c r="C12" s="306" t="s">
        <v>526</v>
      </c>
      <c r="D12" s="255">
        <v>1</v>
      </c>
      <c r="E12" s="316">
        <f t="shared" si="0"/>
        <v>1</v>
      </c>
      <c r="F12" s="316">
        <v>0</v>
      </c>
      <c r="G12" s="255">
        <f t="shared" si="1"/>
        <v>1</v>
      </c>
      <c r="H12" s="257">
        <f t="shared" si="2"/>
        <v>1</v>
      </c>
      <c r="I12" s="237"/>
      <c r="J12" s="237"/>
      <c r="K12" s="316"/>
      <c r="L12" s="316"/>
      <c r="M12" s="316">
        <v>1</v>
      </c>
      <c r="N12" s="255"/>
      <c r="O12" s="112" t="s">
        <v>203</v>
      </c>
    </row>
    <row r="13" spans="1:15" s="110" customFormat="1" ht="52.5">
      <c r="A13" s="337">
        <v>4</v>
      </c>
      <c r="B13" s="253" t="s">
        <v>24</v>
      </c>
      <c r="C13" s="307" t="s">
        <v>10</v>
      </c>
      <c r="D13" s="254">
        <v>160</v>
      </c>
      <c r="E13" s="316">
        <f t="shared" si="0"/>
        <v>160</v>
      </c>
      <c r="F13" s="255">
        <v>0</v>
      </c>
      <c r="G13" s="256">
        <f t="shared" si="1"/>
        <v>160</v>
      </c>
      <c r="H13" s="257">
        <f t="shared" si="2"/>
        <v>160</v>
      </c>
      <c r="I13" s="257"/>
      <c r="J13" s="257"/>
      <c r="K13" s="256">
        <v>0</v>
      </c>
      <c r="L13" s="256"/>
      <c r="M13" s="255">
        <v>160</v>
      </c>
      <c r="N13" s="256"/>
      <c r="O13" s="112" t="s">
        <v>203</v>
      </c>
    </row>
    <row r="14" spans="1:15" s="110" customFormat="1" ht="52.5">
      <c r="A14" s="337">
        <v>5</v>
      </c>
      <c r="B14" s="253" t="s">
        <v>26</v>
      </c>
      <c r="C14" s="307" t="s">
        <v>10</v>
      </c>
      <c r="D14" s="254">
        <v>83</v>
      </c>
      <c r="E14" s="316">
        <f t="shared" si="0"/>
        <v>83</v>
      </c>
      <c r="F14" s="255">
        <v>0</v>
      </c>
      <c r="G14" s="256">
        <f t="shared" si="1"/>
        <v>83</v>
      </c>
      <c r="H14" s="257">
        <f t="shared" si="2"/>
        <v>83</v>
      </c>
      <c r="I14" s="257"/>
      <c r="J14" s="257"/>
      <c r="K14" s="256">
        <v>0</v>
      </c>
      <c r="L14" s="256"/>
      <c r="M14" s="255">
        <v>83</v>
      </c>
      <c r="N14" s="256"/>
      <c r="O14" s="112" t="s">
        <v>203</v>
      </c>
    </row>
    <row r="15" spans="1:15" s="110" customFormat="1" ht="64.5" customHeight="1">
      <c r="A15" s="337">
        <v>6</v>
      </c>
      <c r="B15" s="253" t="s">
        <v>38</v>
      </c>
      <c r="C15" s="307" t="s">
        <v>10</v>
      </c>
      <c r="D15" s="254">
        <v>500</v>
      </c>
      <c r="E15" s="316">
        <f t="shared" si="0"/>
        <v>500</v>
      </c>
      <c r="F15" s="255">
        <v>0</v>
      </c>
      <c r="G15" s="256">
        <f t="shared" si="1"/>
        <v>500</v>
      </c>
      <c r="H15" s="257">
        <f t="shared" si="2"/>
        <v>500</v>
      </c>
      <c r="I15" s="257"/>
      <c r="J15" s="257"/>
      <c r="K15" s="256">
        <v>0</v>
      </c>
      <c r="L15" s="256"/>
      <c r="M15" s="255">
        <v>500</v>
      </c>
      <c r="N15" s="256"/>
      <c r="O15" s="112" t="s">
        <v>203</v>
      </c>
    </row>
    <row r="16" spans="1:15" s="110" customFormat="1" ht="60">
      <c r="A16" s="337">
        <v>7</v>
      </c>
      <c r="B16" s="253" t="s">
        <v>41</v>
      </c>
      <c r="C16" s="307" t="s">
        <v>10</v>
      </c>
      <c r="D16" s="254">
        <v>161</v>
      </c>
      <c r="E16" s="316">
        <f t="shared" si="0"/>
        <v>161</v>
      </c>
      <c r="F16" s="255">
        <v>0</v>
      </c>
      <c r="G16" s="256">
        <f t="shared" si="1"/>
        <v>161</v>
      </c>
      <c r="H16" s="257">
        <f t="shared" si="2"/>
        <v>161</v>
      </c>
      <c r="I16" s="257"/>
      <c r="J16" s="257"/>
      <c r="K16" s="256">
        <v>0</v>
      </c>
      <c r="L16" s="256"/>
      <c r="M16" s="255">
        <v>161</v>
      </c>
      <c r="N16" s="256"/>
      <c r="O16" s="112" t="s">
        <v>203</v>
      </c>
    </row>
    <row r="17" spans="1:15" s="110" customFormat="1" ht="61.5" customHeight="1">
      <c r="A17" s="337">
        <v>8</v>
      </c>
      <c r="B17" s="253" t="s">
        <v>44</v>
      </c>
      <c r="C17" s="307" t="s">
        <v>10</v>
      </c>
      <c r="D17" s="254">
        <v>1000</v>
      </c>
      <c r="E17" s="316">
        <f t="shared" si="0"/>
        <v>1000</v>
      </c>
      <c r="F17" s="255">
        <v>0</v>
      </c>
      <c r="G17" s="256">
        <f t="shared" si="1"/>
        <v>1000</v>
      </c>
      <c r="H17" s="257">
        <f t="shared" si="2"/>
        <v>1000</v>
      </c>
      <c r="I17" s="257"/>
      <c r="J17" s="257"/>
      <c r="K17" s="256">
        <v>0</v>
      </c>
      <c r="L17" s="256"/>
      <c r="M17" s="255">
        <v>1000</v>
      </c>
      <c r="N17" s="256"/>
      <c r="O17" s="112" t="s">
        <v>203</v>
      </c>
    </row>
    <row r="18" spans="1:15" s="110" customFormat="1" ht="64.5" customHeight="1">
      <c r="A18" s="337">
        <v>9</v>
      </c>
      <c r="B18" s="253" t="s">
        <v>45</v>
      </c>
      <c r="C18" s="307" t="s">
        <v>10</v>
      </c>
      <c r="D18" s="254">
        <v>160</v>
      </c>
      <c r="E18" s="316">
        <f t="shared" si="0"/>
        <v>160</v>
      </c>
      <c r="F18" s="255">
        <v>0</v>
      </c>
      <c r="G18" s="256">
        <f t="shared" si="1"/>
        <v>160</v>
      </c>
      <c r="H18" s="257">
        <f t="shared" si="2"/>
        <v>160</v>
      </c>
      <c r="I18" s="257"/>
      <c r="J18" s="257"/>
      <c r="K18" s="256">
        <v>0</v>
      </c>
      <c r="L18" s="256"/>
      <c r="M18" s="255">
        <v>160</v>
      </c>
      <c r="N18" s="256"/>
      <c r="O18" s="112" t="s">
        <v>203</v>
      </c>
    </row>
    <row r="19" spans="1:15" s="110" customFormat="1" ht="109.5" customHeight="1">
      <c r="A19" s="337">
        <v>10</v>
      </c>
      <c r="B19" s="340" t="s">
        <v>92</v>
      </c>
      <c r="C19" s="354" t="s">
        <v>52</v>
      </c>
      <c r="D19" s="254">
        <v>550</v>
      </c>
      <c r="E19" s="316">
        <f t="shared" si="0"/>
        <v>550</v>
      </c>
      <c r="F19" s="255">
        <v>0</v>
      </c>
      <c r="G19" s="256">
        <f t="shared" si="1"/>
        <v>550</v>
      </c>
      <c r="H19" s="257">
        <f t="shared" si="2"/>
        <v>550</v>
      </c>
      <c r="I19" s="257"/>
      <c r="J19" s="257"/>
      <c r="K19" s="256">
        <v>0</v>
      </c>
      <c r="L19" s="256"/>
      <c r="M19" s="255">
        <v>550</v>
      </c>
      <c r="N19" s="256"/>
      <c r="O19" s="112" t="s">
        <v>203</v>
      </c>
    </row>
    <row r="20" spans="1:15" s="110" customFormat="1" ht="120">
      <c r="A20" s="337">
        <v>11</v>
      </c>
      <c r="B20" s="340" t="s">
        <v>93</v>
      </c>
      <c r="C20" s="354" t="s">
        <v>52</v>
      </c>
      <c r="D20" s="254">
        <v>300</v>
      </c>
      <c r="E20" s="316">
        <f t="shared" si="0"/>
        <v>300</v>
      </c>
      <c r="F20" s="255">
        <v>0</v>
      </c>
      <c r="G20" s="256">
        <f t="shared" si="1"/>
        <v>300</v>
      </c>
      <c r="H20" s="257">
        <f t="shared" si="2"/>
        <v>300</v>
      </c>
      <c r="I20" s="257"/>
      <c r="J20" s="257"/>
      <c r="K20" s="256">
        <v>0</v>
      </c>
      <c r="L20" s="256"/>
      <c r="M20" s="255">
        <v>300</v>
      </c>
      <c r="N20" s="256"/>
      <c r="O20" s="112" t="s">
        <v>203</v>
      </c>
    </row>
    <row r="21" spans="1:15" s="110" customFormat="1" ht="120">
      <c r="A21" s="337">
        <v>12</v>
      </c>
      <c r="B21" s="340" t="s">
        <v>375</v>
      </c>
      <c r="C21" s="354" t="s">
        <v>52</v>
      </c>
      <c r="D21" s="254">
        <f>407+1800</f>
        <v>2207</v>
      </c>
      <c r="E21" s="316">
        <f aca="true" t="shared" si="3" ref="E21:E32">D21</f>
        <v>2207</v>
      </c>
      <c r="F21" s="255">
        <v>407</v>
      </c>
      <c r="G21" s="256">
        <f t="shared" si="1"/>
        <v>1800</v>
      </c>
      <c r="H21" s="257">
        <f aca="true" t="shared" si="4" ref="H21:H32">SUM(K21:N21)</f>
        <v>1800</v>
      </c>
      <c r="I21" s="257"/>
      <c r="J21" s="257"/>
      <c r="K21" s="256"/>
      <c r="L21" s="256"/>
      <c r="M21" s="255">
        <v>1800</v>
      </c>
      <c r="N21" s="256"/>
      <c r="O21" s="112" t="s">
        <v>203</v>
      </c>
    </row>
    <row r="22" spans="1:15" s="110" customFormat="1" ht="105">
      <c r="A22" s="337">
        <v>13</v>
      </c>
      <c r="B22" s="340" t="s">
        <v>411</v>
      </c>
      <c r="C22" s="354" t="s">
        <v>52</v>
      </c>
      <c r="D22" s="254">
        <v>211</v>
      </c>
      <c r="E22" s="316">
        <f t="shared" si="3"/>
        <v>211</v>
      </c>
      <c r="F22" s="255">
        <v>11</v>
      </c>
      <c r="G22" s="256">
        <f t="shared" si="1"/>
        <v>200</v>
      </c>
      <c r="H22" s="257">
        <f t="shared" si="4"/>
        <v>200</v>
      </c>
      <c r="I22" s="257"/>
      <c r="J22" s="257"/>
      <c r="K22" s="256"/>
      <c r="L22" s="256"/>
      <c r="M22" s="255">
        <v>200</v>
      </c>
      <c r="N22" s="256"/>
      <c r="O22" s="112" t="s">
        <v>203</v>
      </c>
    </row>
    <row r="23" spans="1:15" s="110" customFormat="1" ht="113.25" customHeight="1">
      <c r="A23" s="337">
        <v>14</v>
      </c>
      <c r="B23" s="340" t="s">
        <v>377</v>
      </c>
      <c r="C23" s="354" t="s">
        <v>52</v>
      </c>
      <c r="D23" s="254">
        <f>200-90+269</f>
        <v>379</v>
      </c>
      <c r="E23" s="316">
        <f t="shared" si="3"/>
        <v>379</v>
      </c>
      <c r="F23" s="255">
        <v>109</v>
      </c>
      <c r="G23" s="256">
        <f t="shared" si="1"/>
        <v>270</v>
      </c>
      <c r="H23" s="257">
        <f t="shared" si="4"/>
        <v>270</v>
      </c>
      <c r="I23" s="257"/>
      <c r="J23" s="257"/>
      <c r="K23" s="256"/>
      <c r="L23" s="256"/>
      <c r="M23" s="255">
        <v>270</v>
      </c>
      <c r="N23" s="256"/>
      <c r="O23" s="112" t="s">
        <v>203</v>
      </c>
    </row>
    <row r="24" spans="1:15" s="110" customFormat="1" ht="121.5" customHeight="1">
      <c r="A24" s="337">
        <v>15</v>
      </c>
      <c r="B24" s="340" t="s">
        <v>378</v>
      </c>
      <c r="C24" s="354" t="s">
        <v>52</v>
      </c>
      <c r="D24" s="254">
        <v>225</v>
      </c>
      <c r="E24" s="316">
        <f t="shared" si="3"/>
        <v>225</v>
      </c>
      <c r="F24" s="255">
        <v>0</v>
      </c>
      <c r="G24" s="256">
        <f t="shared" si="1"/>
        <v>225</v>
      </c>
      <c r="H24" s="257">
        <f t="shared" si="4"/>
        <v>225</v>
      </c>
      <c r="I24" s="257"/>
      <c r="J24" s="257"/>
      <c r="K24" s="256"/>
      <c r="L24" s="256"/>
      <c r="M24" s="255">
        <v>225</v>
      </c>
      <c r="N24" s="256"/>
      <c r="O24" s="112" t="s">
        <v>203</v>
      </c>
    </row>
    <row r="25" spans="1:15" s="111" customFormat="1" ht="67.5" customHeight="1">
      <c r="A25" s="337">
        <v>16</v>
      </c>
      <c r="B25" s="253" t="s">
        <v>382</v>
      </c>
      <c r="C25" s="354" t="s">
        <v>52</v>
      </c>
      <c r="D25" s="254">
        <f>195+1</f>
        <v>196</v>
      </c>
      <c r="E25" s="316">
        <f t="shared" si="3"/>
        <v>196</v>
      </c>
      <c r="F25" s="255">
        <f>156+39</f>
        <v>195</v>
      </c>
      <c r="G25" s="256">
        <f t="shared" si="1"/>
        <v>1</v>
      </c>
      <c r="H25" s="257">
        <f t="shared" si="4"/>
        <v>1</v>
      </c>
      <c r="I25" s="257"/>
      <c r="J25" s="257"/>
      <c r="K25" s="256">
        <v>0</v>
      </c>
      <c r="L25" s="256"/>
      <c r="M25" s="255">
        <v>1</v>
      </c>
      <c r="N25" s="256"/>
      <c r="O25" s="112" t="s">
        <v>203</v>
      </c>
    </row>
    <row r="26" spans="1:15" s="111" customFormat="1" ht="52.5" customHeight="1">
      <c r="A26" s="337">
        <v>17</v>
      </c>
      <c r="B26" s="253" t="s">
        <v>114</v>
      </c>
      <c r="C26" s="354" t="s">
        <v>52</v>
      </c>
      <c r="D26" s="254">
        <v>10</v>
      </c>
      <c r="E26" s="316">
        <f t="shared" si="3"/>
        <v>10</v>
      </c>
      <c r="F26" s="255">
        <v>0</v>
      </c>
      <c r="G26" s="256">
        <f t="shared" si="1"/>
        <v>10</v>
      </c>
      <c r="H26" s="257">
        <f t="shared" si="4"/>
        <v>10</v>
      </c>
      <c r="I26" s="257"/>
      <c r="J26" s="257"/>
      <c r="K26" s="256">
        <v>0</v>
      </c>
      <c r="L26" s="256"/>
      <c r="M26" s="255">
        <v>10</v>
      </c>
      <c r="N26" s="256"/>
      <c r="O26" s="112" t="s">
        <v>203</v>
      </c>
    </row>
    <row r="27" spans="1:15" s="111" customFormat="1" ht="90">
      <c r="A27" s="337">
        <v>18</v>
      </c>
      <c r="B27" s="253" t="s">
        <v>436</v>
      </c>
      <c r="C27" s="354" t="s">
        <v>52</v>
      </c>
      <c r="D27" s="254">
        <v>320</v>
      </c>
      <c r="E27" s="316">
        <f t="shared" si="3"/>
        <v>320</v>
      </c>
      <c r="F27" s="255">
        <v>0</v>
      </c>
      <c r="G27" s="256">
        <f t="shared" si="1"/>
        <v>320</v>
      </c>
      <c r="H27" s="257">
        <f t="shared" si="4"/>
        <v>320</v>
      </c>
      <c r="I27" s="257"/>
      <c r="J27" s="257"/>
      <c r="K27" s="256">
        <v>0</v>
      </c>
      <c r="L27" s="256"/>
      <c r="M27" s="255">
        <v>320</v>
      </c>
      <c r="N27" s="256"/>
      <c r="O27" s="112" t="s">
        <v>203</v>
      </c>
    </row>
    <row r="28" spans="1:15" s="111" customFormat="1" ht="88.5" customHeight="1">
      <c r="A28" s="337">
        <v>19</v>
      </c>
      <c r="B28" s="253" t="s">
        <v>437</v>
      </c>
      <c r="C28" s="354" t="s">
        <v>52</v>
      </c>
      <c r="D28" s="254">
        <v>160</v>
      </c>
      <c r="E28" s="316">
        <f t="shared" si="3"/>
        <v>160</v>
      </c>
      <c r="F28" s="255">
        <v>0</v>
      </c>
      <c r="G28" s="256">
        <f t="shared" si="1"/>
        <v>160</v>
      </c>
      <c r="H28" s="257">
        <f t="shared" si="4"/>
        <v>160</v>
      </c>
      <c r="I28" s="257"/>
      <c r="J28" s="257"/>
      <c r="K28" s="256">
        <v>0</v>
      </c>
      <c r="L28" s="256"/>
      <c r="M28" s="255">
        <v>160</v>
      </c>
      <c r="N28" s="256"/>
      <c r="O28" s="112" t="s">
        <v>203</v>
      </c>
    </row>
    <row r="29" spans="1:15" s="111" customFormat="1" ht="88.5" customHeight="1">
      <c r="A29" s="337">
        <v>20</v>
      </c>
      <c r="B29" s="253" t="s">
        <v>438</v>
      </c>
      <c r="C29" s="354" t="s">
        <v>52</v>
      </c>
      <c r="D29" s="254">
        <v>135</v>
      </c>
      <c r="E29" s="316">
        <f>D29</f>
        <v>135</v>
      </c>
      <c r="F29" s="255">
        <v>0</v>
      </c>
      <c r="G29" s="256">
        <f t="shared" si="1"/>
        <v>135</v>
      </c>
      <c r="H29" s="257">
        <f>SUM(K29:N29)</f>
        <v>135</v>
      </c>
      <c r="I29" s="257"/>
      <c r="J29" s="257"/>
      <c r="K29" s="256">
        <v>0</v>
      </c>
      <c r="L29" s="256"/>
      <c r="M29" s="255">
        <v>135</v>
      </c>
      <c r="N29" s="256"/>
      <c r="O29" s="112" t="s">
        <v>203</v>
      </c>
    </row>
    <row r="30" spans="1:15" s="111" customFormat="1" ht="88.5" customHeight="1">
      <c r="A30" s="337">
        <v>21</v>
      </c>
      <c r="B30" s="253" t="s">
        <v>102</v>
      </c>
      <c r="C30" s="354" t="s">
        <v>52</v>
      </c>
      <c r="D30" s="254">
        <v>200</v>
      </c>
      <c r="E30" s="316">
        <f>D30</f>
        <v>200</v>
      </c>
      <c r="F30" s="255">
        <v>0</v>
      </c>
      <c r="G30" s="256">
        <f t="shared" si="1"/>
        <v>200</v>
      </c>
      <c r="H30" s="257">
        <f>SUM(K30:N30)</f>
        <v>200</v>
      </c>
      <c r="I30" s="257"/>
      <c r="J30" s="257"/>
      <c r="K30" s="256">
        <v>0</v>
      </c>
      <c r="L30" s="256"/>
      <c r="M30" s="255">
        <v>200</v>
      </c>
      <c r="N30" s="256"/>
      <c r="O30" s="112" t="s">
        <v>203</v>
      </c>
    </row>
    <row r="31" spans="1:15" s="111" customFormat="1" ht="88.5" customHeight="1">
      <c r="A31" s="337">
        <v>22</v>
      </c>
      <c r="B31" s="253" t="s">
        <v>103</v>
      </c>
      <c r="C31" s="354" t="s">
        <v>52</v>
      </c>
      <c r="D31" s="254">
        <v>200</v>
      </c>
      <c r="E31" s="316">
        <f>D31</f>
        <v>200</v>
      </c>
      <c r="F31" s="255">
        <v>0</v>
      </c>
      <c r="G31" s="256">
        <f t="shared" si="1"/>
        <v>200</v>
      </c>
      <c r="H31" s="257">
        <f>SUM(K31:N31)</f>
        <v>200</v>
      </c>
      <c r="I31" s="257"/>
      <c r="J31" s="257"/>
      <c r="K31" s="256">
        <v>0</v>
      </c>
      <c r="L31" s="256"/>
      <c r="M31" s="255">
        <v>200</v>
      </c>
      <c r="N31" s="256"/>
      <c r="O31" s="112" t="s">
        <v>203</v>
      </c>
    </row>
    <row r="32" spans="1:15" s="111" customFormat="1" ht="90">
      <c r="A32" s="337">
        <v>23</v>
      </c>
      <c r="B32" s="253" t="s">
        <v>104</v>
      </c>
      <c r="C32" s="354" t="s">
        <v>52</v>
      </c>
      <c r="D32" s="254">
        <v>200</v>
      </c>
      <c r="E32" s="316">
        <f t="shared" si="3"/>
        <v>200</v>
      </c>
      <c r="F32" s="255">
        <v>0</v>
      </c>
      <c r="G32" s="256">
        <f t="shared" si="1"/>
        <v>200</v>
      </c>
      <c r="H32" s="257">
        <f t="shared" si="4"/>
        <v>200</v>
      </c>
      <c r="I32" s="257"/>
      <c r="J32" s="257"/>
      <c r="K32" s="256">
        <v>0</v>
      </c>
      <c r="L32" s="256"/>
      <c r="M32" s="255">
        <v>200</v>
      </c>
      <c r="N32" s="256"/>
      <c r="O32" s="112" t="s">
        <v>203</v>
      </c>
    </row>
    <row r="33" spans="1:15" s="111" customFormat="1" ht="30.75" customHeight="1">
      <c r="A33" s="235"/>
      <c r="B33" s="13"/>
      <c r="C33" s="261" t="s">
        <v>187</v>
      </c>
      <c r="D33" s="237">
        <f aca="true" t="shared" si="5" ref="D33:N33">SUM(D10:D32)</f>
        <v>7674</v>
      </c>
      <c r="E33" s="237">
        <f t="shared" si="5"/>
        <v>7674</v>
      </c>
      <c r="F33" s="237">
        <f t="shared" si="5"/>
        <v>722</v>
      </c>
      <c r="G33" s="237">
        <f t="shared" si="5"/>
        <v>6952</v>
      </c>
      <c r="H33" s="237">
        <f t="shared" si="5"/>
        <v>6952</v>
      </c>
      <c r="I33" s="237">
        <f t="shared" si="5"/>
        <v>0</v>
      </c>
      <c r="J33" s="237">
        <f t="shared" si="5"/>
        <v>0</v>
      </c>
      <c r="K33" s="237">
        <f t="shared" si="5"/>
        <v>0</v>
      </c>
      <c r="L33" s="237">
        <f t="shared" si="5"/>
        <v>0</v>
      </c>
      <c r="M33" s="237">
        <f t="shared" si="5"/>
        <v>6952</v>
      </c>
      <c r="N33" s="237">
        <f t="shared" si="5"/>
        <v>0</v>
      </c>
      <c r="O33" s="110"/>
    </row>
    <row r="34" spans="1:15" s="111" customFormat="1" ht="25.5" customHeight="1">
      <c r="A34" s="235"/>
      <c r="B34" s="13"/>
      <c r="C34" s="236"/>
      <c r="D34" s="14"/>
      <c r="E34" s="14"/>
      <c r="F34" s="14"/>
      <c r="G34" s="14"/>
      <c r="H34" s="14"/>
      <c r="I34" s="14"/>
      <c r="J34" s="14"/>
      <c r="K34" s="14"/>
      <c r="L34" s="14"/>
      <c r="M34" s="14"/>
      <c r="N34" s="14"/>
      <c r="O34" s="110"/>
    </row>
    <row r="35" spans="1:15" s="111" customFormat="1" ht="26.25" customHeight="1" thickBot="1">
      <c r="A35" s="133" t="s">
        <v>301</v>
      </c>
      <c r="B35" s="134"/>
      <c r="C35" s="133"/>
      <c r="D35" s="137"/>
      <c r="E35" s="137"/>
      <c r="F35" s="137"/>
      <c r="G35" s="137"/>
      <c r="H35" s="137"/>
      <c r="I35" s="137"/>
      <c r="J35" s="137"/>
      <c r="K35" s="137"/>
      <c r="L35" s="137"/>
      <c r="M35" s="137"/>
      <c r="N35" s="109" t="s">
        <v>185</v>
      </c>
      <c r="O35" s="137"/>
    </row>
    <row r="36" spans="1:14" s="111" customFormat="1" ht="48.75" customHeight="1" thickBot="1">
      <c r="A36" s="293" t="s">
        <v>186</v>
      </c>
      <c r="B36" s="294" t="s">
        <v>188</v>
      </c>
      <c r="C36" s="295" t="s">
        <v>223</v>
      </c>
      <c r="D36" s="294" t="s">
        <v>457</v>
      </c>
      <c r="E36" s="296" t="s">
        <v>220</v>
      </c>
      <c r="F36" s="297" t="s">
        <v>458</v>
      </c>
      <c r="G36" s="297" t="s">
        <v>278</v>
      </c>
      <c r="H36" s="297" t="s">
        <v>459</v>
      </c>
      <c r="I36" s="125" t="s">
        <v>222</v>
      </c>
      <c r="J36" s="126" t="s">
        <v>221</v>
      </c>
      <c r="K36" s="298" t="s">
        <v>254</v>
      </c>
      <c r="L36" s="297" t="s">
        <v>432</v>
      </c>
      <c r="M36" s="297" t="s">
        <v>192</v>
      </c>
      <c r="N36" s="299" t="s">
        <v>204</v>
      </c>
    </row>
    <row r="37" spans="1:15" s="111" customFormat="1" ht="90">
      <c r="A37" s="127">
        <v>1</v>
      </c>
      <c r="B37" s="186" t="s">
        <v>372</v>
      </c>
      <c r="C37" s="146" t="s">
        <v>435</v>
      </c>
      <c r="D37" s="254">
        <v>85</v>
      </c>
      <c r="E37" s="254">
        <f>D37</f>
        <v>85</v>
      </c>
      <c r="F37" s="255">
        <v>0</v>
      </c>
      <c r="G37" s="256">
        <f>D37-F37</f>
        <v>85</v>
      </c>
      <c r="H37" s="257">
        <f>SUM(K37:N37)</f>
        <v>85</v>
      </c>
      <c r="I37" s="257"/>
      <c r="J37" s="257"/>
      <c r="K37" s="256">
        <v>0</v>
      </c>
      <c r="L37" s="256"/>
      <c r="M37" s="255">
        <v>85</v>
      </c>
      <c r="N37" s="256"/>
      <c r="O37" s="112" t="s">
        <v>203</v>
      </c>
    </row>
    <row r="38" spans="1:14" s="111" customFormat="1" ht="24.75" customHeight="1">
      <c r="A38" s="133"/>
      <c r="B38" s="134"/>
      <c r="C38" s="133" t="s">
        <v>187</v>
      </c>
      <c r="D38" s="135">
        <f aca="true" t="shared" si="6" ref="D38:N38">SUM(D37:D37)</f>
        <v>85</v>
      </c>
      <c r="E38" s="135">
        <f t="shared" si="6"/>
        <v>85</v>
      </c>
      <c r="F38" s="135">
        <f t="shared" si="6"/>
        <v>0</v>
      </c>
      <c r="G38" s="135">
        <f t="shared" si="6"/>
        <v>85</v>
      </c>
      <c r="H38" s="135">
        <f t="shared" si="6"/>
        <v>85</v>
      </c>
      <c r="I38" s="135">
        <f t="shared" si="6"/>
        <v>0</v>
      </c>
      <c r="J38" s="135">
        <f t="shared" si="6"/>
        <v>0</v>
      </c>
      <c r="K38" s="135">
        <f t="shared" si="6"/>
        <v>0</v>
      </c>
      <c r="L38" s="135">
        <f t="shared" si="6"/>
        <v>0</v>
      </c>
      <c r="M38" s="135">
        <f t="shared" si="6"/>
        <v>85</v>
      </c>
      <c r="N38" s="135">
        <f t="shared" si="6"/>
        <v>0</v>
      </c>
    </row>
    <row r="39" spans="1:15" s="111" customFormat="1" ht="26.25" customHeight="1">
      <c r="A39" s="235"/>
      <c r="B39" s="13"/>
      <c r="C39" s="236"/>
      <c r="D39" s="14"/>
      <c r="E39" s="14"/>
      <c r="F39" s="14"/>
      <c r="G39" s="14"/>
      <c r="H39" s="14"/>
      <c r="I39" s="14"/>
      <c r="J39" s="14"/>
      <c r="K39" s="14"/>
      <c r="L39" s="14"/>
      <c r="M39" s="14"/>
      <c r="N39" s="14"/>
      <c r="O39" s="110"/>
    </row>
    <row r="40" spans="1:15" s="110" customFormat="1" ht="36" customHeight="1" thickBot="1">
      <c r="A40" s="106" t="s">
        <v>273</v>
      </c>
      <c r="B40" s="13"/>
      <c r="C40" s="107"/>
      <c r="D40" s="108"/>
      <c r="E40" s="108"/>
      <c r="F40" s="13"/>
      <c r="G40" s="13"/>
      <c r="H40" s="13"/>
      <c r="I40" s="13"/>
      <c r="J40" s="13"/>
      <c r="K40" s="13"/>
      <c r="L40" s="105"/>
      <c r="M40" s="13"/>
      <c r="N40" s="109" t="s">
        <v>185</v>
      </c>
      <c r="O40" s="102"/>
    </row>
    <row r="41" spans="1:15" s="110" customFormat="1" ht="60" customHeight="1" thickBot="1">
      <c r="A41" s="293" t="s">
        <v>186</v>
      </c>
      <c r="B41" s="294" t="s">
        <v>188</v>
      </c>
      <c r="C41" s="295" t="s">
        <v>223</v>
      </c>
      <c r="D41" s="294" t="s">
        <v>457</v>
      </c>
      <c r="E41" s="296" t="s">
        <v>220</v>
      </c>
      <c r="F41" s="297" t="s">
        <v>458</v>
      </c>
      <c r="G41" s="297" t="s">
        <v>278</v>
      </c>
      <c r="H41" s="297" t="s">
        <v>459</v>
      </c>
      <c r="I41" s="125" t="s">
        <v>222</v>
      </c>
      <c r="J41" s="126" t="s">
        <v>221</v>
      </c>
      <c r="K41" s="298" t="s">
        <v>254</v>
      </c>
      <c r="L41" s="297" t="s">
        <v>432</v>
      </c>
      <c r="M41" s="297" t="s">
        <v>192</v>
      </c>
      <c r="N41" s="299" t="s">
        <v>204</v>
      </c>
      <c r="O41" s="102"/>
    </row>
    <row r="42" spans="1:15" s="111" customFormat="1" ht="105">
      <c r="A42" s="258">
        <v>1</v>
      </c>
      <c r="B42" s="253" t="s">
        <v>51</v>
      </c>
      <c r="C42" s="306" t="s">
        <v>52</v>
      </c>
      <c r="D42" s="254">
        <f>49+222-47</f>
        <v>224</v>
      </c>
      <c r="E42" s="254">
        <f>D42</f>
        <v>224</v>
      </c>
      <c r="F42" s="255">
        <f>101+120+1</f>
        <v>222</v>
      </c>
      <c r="G42" s="256">
        <f>D42-F42</f>
        <v>2</v>
      </c>
      <c r="H42" s="257">
        <f>SUM(K42:N42)</f>
        <v>2</v>
      </c>
      <c r="I42" s="257"/>
      <c r="J42" s="257"/>
      <c r="K42" s="256">
        <v>2</v>
      </c>
      <c r="L42" s="256"/>
      <c r="M42" s="255"/>
      <c r="N42" s="256"/>
      <c r="O42" s="112" t="s">
        <v>203</v>
      </c>
    </row>
    <row r="43" spans="1:15" s="111" customFormat="1" ht="101.25" customHeight="1">
      <c r="A43" s="258">
        <v>2</v>
      </c>
      <c r="B43" s="253" t="s">
        <v>53</v>
      </c>
      <c r="C43" s="306" t="s">
        <v>52</v>
      </c>
      <c r="D43" s="254">
        <f>177+10+83</f>
        <v>270</v>
      </c>
      <c r="E43" s="254">
        <f>D43</f>
        <v>270</v>
      </c>
      <c r="F43" s="255">
        <f>107+80+76</f>
        <v>263</v>
      </c>
      <c r="G43" s="256">
        <f>D43-F43</f>
        <v>7</v>
      </c>
      <c r="H43" s="257">
        <f>SUM(K43:N43)</f>
        <v>6</v>
      </c>
      <c r="I43" s="257"/>
      <c r="J43" s="257"/>
      <c r="K43" s="256">
        <v>6</v>
      </c>
      <c r="L43" s="256"/>
      <c r="M43" s="255"/>
      <c r="N43" s="256"/>
      <c r="O43" s="112" t="s">
        <v>203</v>
      </c>
    </row>
    <row r="44" spans="1:15" s="111" customFormat="1" ht="105">
      <c r="A44" s="258">
        <v>3</v>
      </c>
      <c r="B44" s="253" t="s">
        <v>56</v>
      </c>
      <c r="C44" s="306" t="s">
        <v>52</v>
      </c>
      <c r="D44" s="254">
        <f>360+21-138</f>
        <v>243</v>
      </c>
      <c r="E44" s="254">
        <f aca="true" t="shared" si="7" ref="E44:E68">D44</f>
        <v>243</v>
      </c>
      <c r="F44" s="255">
        <f>75+167</f>
        <v>242</v>
      </c>
      <c r="G44" s="256">
        <f>D44-F44</f>
        <v>1</v>
      </c>
      <c r="H44" s="257">
        <f aca="true" t="shared" si="8" ref="H44:H68">SUM(K44:N44)</f>
        <v>1</v>
      </c>
      <c r="I44" s="257"/>
      <c r="J44" s="257"/>
      <c r="K44" s="256">
        <v>1</v>
      </c>
      <c r="L44" s="256"/>
      <c r="M44" s="255"/>
      <c r="N44" s="256"/>
      <c r="O44" s="112" t="s">
        <v>203</v>
      </c>
    </row>
    <row r="45" spans="1:15" s="111" customFormat="1" ht="105">
      <c r="A45" s="258">
        <v>4</v>
      </c>
      <c r="B45" s="253" t="s">
        <v>57</v>
      </c>
      <c r="C45" s="306" t="s">
        <v>52</v>
      </c>
      <c r="D45" s="254">
        <f>345+17-134</f>
        <v>228</v>
      </c>
      <c r="E45" s="254">
        <f t="shared" si="7"/>
        <v>228</v>
      </c>
      <c r="F45" s="255">
        <f>75+150</f>
        <v>225</v>
      </c>
      <c r="G45" s="256">
        <f>D45-F45</f>
        <v>3</v>
      </c>
      <c r="H45" s="257">
        <f t="shared" si="8"/>
        <v>3</v>
      </c>
      <c r="I45" s="257"/>
      <c r="J45" s="257"/>
      <c r="K45" s="256">
        <v>3</v>
      </c>
      <c r="L45" s="256"/>
      <c r="M45" s="255"/>
      <c r="N45" s="256"/>
      <c r="O45" s="112" t="s">
        <v>203</v>
      </c>
    </row>
    <row r="46" spans="1:15" s="111" customFormat="1" ht="105">
      <c r="A46" s="258">
        <v>5</v>
      </c>
      <c r="B46" s="253" t="s">
        <v>61</v>
      </c>
      <c r="C46" s="306" t="s">
        <v>52</v>
      </c>
      <c r="D46" s="254">
        <f>388+121-207</f>
        <v>302</v>
      </c>
      <c r="E46" s="254">
        <f t="shared" si="7"/>
        <v>302</v>
      </c>
      <c r="F46" s="255">
        <f>98+201</f>
        <v>299</v>
      </c>
      <c r="G46" s="256">
        <f>D46-F46</f>
        <v>3</v>
      </c>
      <c r="H46" s="257">
        <f t="shared" si="8"/>
        <v>3</v>
      </c>
      <c r="I46" s="257"/>
      <c r="J46" s="257"/>
      <c r="K46" s="256">
        <v>3</v>
      </c>
      <c r="L46" s="256"/>
      <c r="M46" s="255"/>
      <c r="N46" s="256"/>
      <c r="O46" s="112" t="s">
        <v>203</v>
      </c>
    </row>
    <row r="47" spans="1:15" s="111" customFormat="1" ht="105">
      <c r="A47" s="258">
        <v>6</v>
      </c>
      <c r="B47" s="253" t="s">
        <v>72</v>
      </c>
      <c r="C47" s="306" t="s">
        <v>52</v>
      </c>
      <c r="D47" s="254">
        <f>141+110-68</f>
        <v>183</v>
      </c>
      <c r="E47" s="254">
        <f t="shared" si="7"/>
        <v>183</v>
      </c>
      <c r="F47" s="255">
        <f>85+97-2</f>
        <v>180</v>
      </c>
      <c r="G47" s="256">
        <f aca="true" t="shared" si="9" ref="G47:G68">D47-F47</f>
        <v>3</v>
      </c>
      <c r="H47" s="257">
        <f t="shared" si="8"/>
        <v>3</v>
      </c>
      <c r="I47" s="257"/>
      <c r="J47" s="257"/>
      <c r="K47" s="256">
        <v>3</v>
      </c>
      <c r="L47" s="256"/>
      <c r="M47" s="255" t="s">
        <v>191</v>
      </c>
      <c r="N47" s="256"/>
      <c r="O47" s="112" t="s">
        <v>203</v>
      </c>
    </row>
    <row r="48" spans="1:15" s="111" customFormat="1" ht="105">
      <c r="A48" s="258">
        <v>7</v>
      </c>
      <c r="B48" s="253" t="s">
        <v>63</v>
      </c>
      <c r="C48" s="306" t="s">
        <v>52</v>
      </c>
      <c r="D48" s="254">
        <f>158-45</f>
        <v>113</v>
      </c>
      <c r="E48" s="254">
        <f t="shared" si="7"/>
        <v>113</v>
      </c>
      <c r="F48" s="255">
        <f>112-2</f>
        <v>110</v>
      </c>
      <c r="G48" s="256">
        <f t="shared" si="9"/>
        <v>3</v>
      </c>
      <c r="H48" s="257">
        <f t="shared" si="8"/>
        <v>3</v>
      </c>
      <c r="I48" s="257"/>
      <c r="J48" s="257"/>
      <c r="K48" s="256">
        <v>3</v>
      </c>
      <c r="L48" s="256"/>
      <c r="M48" s="255"/>
      <c r="N48" s="256"/>
      <c r="O48" s="112" t="s">
        <v>203</v>
      </c>
    </row>
    <row r="49" spans="1:15" s="111" customFormat="1" ht="105">
      <c r="A49" s="258">
        <v>8</v>
      </c>
      <c r="B49" s="253" t="s">
        <v>73</v>
      </c>
      <c r="C49" s="306" t="s">
        <v>52</v>
      </c>
      <c r="D49" s="254">
        <v>2</v>
      </c>
      <c r="E49" s="254">
        <f>D49</f>
        <v>2</v>
      </c>
      <c r="F49" s="255">
        <v>0</v>
      </c>
      <c r="G49" s="256">
        <f>D49-F49</f>
        <v>2</v>
      </c>
      <c r="H49" s="257">
        <f>SUM(K49:N49)</f>
        <v>2</v>
      </c>
      <c r="I49" s="257"/>
      <c r="J49" s="257"/>
      <c r="K49" s="256">
        <v>2</v>
      </c>
      <c r="L49" s="256"/>
      <c r="M49" s="255"/>
      <c r="N49" s="256"/>
      <c r="O49" s="112" t="s">
        <v>203</v>
      </c>
    </row>
    <row r="50" spans="1:15" s="111" customFormat="1" ht="97.5" customHeight="1">
      <c r="A50" s="258">
        <v>9</v>
      </c>
      <c r="B50" s="221" t="s">
        <v>311</v>
      </c>
      <c r="C50" s="306" t="s">
        <v>52</v>
      </c>
      <c r="D50" s="254">
        <v>200</v>
      </c>
      <c r="E50" s="254">
        <f t="shared" si="7"/>
        <v>200</v>
      </c>
      <c r="F50" s="255">
        <v>0</v>
      </c>
      <c r="G50" s="256">
        <f>D50-F50</f>
        <v>200</v>
      </c>
      <c r="H50" s="257">
        <f t="shared" si="8"/>
        <v>200</v>
      </c>
      <c r="I50" s="257"/>
      <c r="J50" s="257"/>
      <c r="K50" s="256">
        <v>200</v>
      </c>
      <c r="L50" s="256"/>
      <c r="M50" s="255">
        <v>0</v>
      </c>
      <c r="N50" s="256"/>
      <c r="O50" s="112" t="s">
        <v>203</v>
      </c>
    </row>
    <row r="51" spans="1:15" s="111" customFormat="1" ht="97.5" customHeight="1">
      <c r="A51" s="258">
        <v>10</v>
      </c>
      <c r="B51" s="221" t="s">
        <v>308</v>
      </c>
      <c r="C51" s="306" t="s">
        <v>52</v>
      </c>
      <c r="D51" s="254">
        <v>145</v>
      </c>
      <c r="E51" s="254">
        <f>D51</f>
        <v>145</v>
      </c>
      <c r="F51" s="255">
        <v>0</v>
      </c>
      <c r="G51" s="256">
        <f>D51-F51</f>
        <v>145</v>
      </c>
      <c r="H51" s="257">
        <f>SUM(K51:N51)</f>
        <v>145</v>
      </c>
      <c r="I51" s="257"/>
      <c r="J51" s="257"/>
      <c r="K51" s="256">
        <v>145</v>
      </c>
      <c r="L51" s="256"/>
      <c r="M51" s="255">
        <v>0</v>
      </c>
      <c r="N51" s="256"/>
      <c r="O51" s="112" t="s">
        <v>203</v>
      </c>
    </row>
    <row r="52" spans="1:15" s="111" customFormat="1" ht="97.5" customHeight="1">
      <c r="A52" s="258">
        <v>11</v>
      </c>
      <c r="B52" s="221" t="s">
        <v>309</v>
      </c>
      <c r="C52" s="306" t="s">
        <v>52</v>
      </c>
      <c r="D52" s="254">
        <v>150</v>
      </c>
      <c r="E52" s="254">
        <f>D52</f>
        <v>150</v>
      </c>
      <c r="F52" s="255">
        <v>0</v>
      </c>
      <c r="G52" s="256">
        <f>D52-F52</f>
        <v>150</v>
      </c>
      <c r="H52" s="257">
        <f>SUM(K52:N52)</f>
        <v>150</v>
      </c>
      <c r="I52" s="257"/>
      <c r="J52" s="257"/>
      <c r="K52" s="256">
        <v>150</v>
      </c>
      <c r="L52" s="256"/>
      <c r="M52" s="255">
        <v>0</v>
      </c>
      <c r="N52" s="256"/>
      <c r="O52" s="112" t="s">
        <v>203</v>
      </c>
    </row>
    <row r="53" spans="1:15" s="111" customFormat="1" ht="120">
      <c r="A53" s="258">
        <v>12</v>
      </c>
      <c r="B53" s="353" t="s">
        <v>94</v>
      </c>
      <c r="C53" s="306" t="s">
        <v>52</v>
      </c>
      <c r="D53" s="254">
        <v>100</v>
      </c>
      <c r="E53" s="254">
        <f>D53</f>
        <v>100</v>
      </c>
      <c r="F53" s="255">
        <v>0</v>
      </c>
      <c r="G53" s="256">
        <f>D53-F53</f>
        <v>100</v>
      </c>
      <c r="H53" s="257">
        <f>SUM(K53:N53)</f>
        <v>100</v>
      </c>
      <c r="I53" s="257"/>
      <c r="J53" s="257"/>
      <c r="K53" s="256">
        <v>0</v>
      </c>
      <c r="L53" s="256"/>
      <c r="M53" s="255">
        <v>100</v>
      </c>
      <c r="N53" s="256"/>
      <c r="O53" s="112" t="s">
        <v>203</v>
      </c>
    </row>
    <row r="54" spans="1:15" s="111" customFormat="1" ht="75">
      <c r="A54" s="258">
        <v>13</v>
      </c>
      <c r="B54" s="340" t="s">
        <v>140</v>
      </c>
      <c r="C54" s="306" t="s">
        <v>52</v>
      </c>
      <c r="D54" s="347">
        <v>650</v>
      </c>
      <c r="E54" s="254">
        <f t="shared" si="7"/>
        <v>650</v>
      </c>
      <c r="F54" s="316">
        <v>0</v>
      </c>
      <c r="G54" s="322">
        <f t="shared" si="9"/>
        <v>650</v>
      </c>
      <c r="H54" s="237">
        <f t="shared" si="8"/>
        <v>650</v>
      </c>
      <c r="I54" s="237"/>
      <c r="J54" s="237"/>
      <c r="K54" s="322"/>
      <c r="L54" s="322"/>
      <c r="M54" s="316">
        <v>650</v>
      </c>
      <c r="N54" s="322"/>
      <c r="O54" s="112" t="s">
        <v>203</v>
      </c>
    </row>
    <row r="55" spans="1:15" s="111" customFormat="1" ht="75" customHeight="1">
      <c r="A55" s="258">
        <v>14</v>
      </c>
      <c r="B55" s="253" t="s">
        <v>332</v>
      </c>
      <c r="C55" s="306" t="s">
        <v>52</v>
      </c>
      <c r="D55" s="254">
        <f>28+140</f>
        <v>168</v>
      </c>
      <c r="E55" s="254">
        <f>D55</f>
        <v>168</v>
      </c>
      <c r="F55" s="255">
        <f>28</f>
        <v>28</v>
      </c>
      <c r="G55" s="256">
        <f t="shared" si="9"/>
        <v>140</v>
      </c>
      <c r="H55" s="257">
        <f t="shared" si="8"/>
        <v>140</v>
      </c>
      <c r="I55" s="257"/>
      <c r="J55" s="257"/>
      <c r="K55" s="256"/>
      <c r="L55" s="256"/>
      <c r="M55" s="255">
        <v>140</v>
      </c>
      <c r="N55" s="256"/>
      <c r="O55" s="112" t="s">
        <v>203</v>
      </c>
    </row>
    <row r="56" spans="1:15" s="111" customFormat="1" ht="102.75" customHeight="1">
      <c r="A56" s="258">
        <v>15</v>
      </c>
      <c r="B56" s="221" t="s">
        <v>418</v>
      </c>
      <c r="C56" s="306" t="s">
        <v>52</v>
      </c>
      <c r="D56" s="254">
        <v>300</v>
      </c>
      <c r="E56" s="254">
        <f t="shared" si="7"/>
        <v>300</v>
      </c>
      <c r="F56" s="255">
        <v>0</v>
      </c>
      <c r="G56" s="256">
        <f>D56-F56</f>
        <v>300</v>
      </c>
      <c r="H56" s="257">
        <f t="shared" si="8"/>
        <v>300</v>
      </c>
      <c r="I56" s="257"/>
      <c r="J56" s="257"/>
      <c r="K56" s="256"/>
      <c r="L56" s="256"/>
      <c r="M56" s="255">
        <v>300</v>
      </c>
      <c r="N56" s="256"/>
      <c r="O56" s="112" t="s">
        <v>203</v>
      </c>
    </row>
    <row r="57" spans="1:15" s="111" customFormat="1" ht="120">
      <c r="A57" s="258">
        <v>16</v>
      </c>
      <c r="B57" s="221" t="s">
        <v>403</v>
      </c>
      <c r="C57" s="306" t="s">
        <v>52</v>
      </c>
      <c r="D57" s="254">
        <v>325</v>
      </c>
      <c r="E57" s="254">
        <f t="shared" si="7"/>
        <v>325</v>
      </c>
      <c r="F57" s="255">
        <v>0</v>
      </c>
      <c r="G57" s="256">
        <f t="shared" si="9"/>
        <v>325</v>
      </c>
      <c r="H57" s="257">
        <f t="shared" si="8"/>
        <v>325</v>
      </c>
      <c r="I57" s="257"/>
      <c r="J57" s="257"/>
      <c r="K57" s="256"/>
      <c r="L57" s="256"/>
      <c r="M57" s="255">
        <v>325</v>
      </c>
      <c r="N57" s="256"/>
      <c r="O57" s="112" t="s">
        <v>203</v>
      </c>
    </row>
    <row r="58" spans="1:15" s="111" customFormat="1" ht="120">
      <c r="A58" s="258">
        <v>17</v>
      </c>
      <c r="B58" s="221" t="s">
        <v>420</v>
      </c>
      <c r="C58" s="306" t="s">
        <v>52</v>
      </c>
      <c r="D58" s="254">
        <v>135</v>
      </c>
      <c r="E58" s="254">
        <f t="shared" si="7"/>
        <v>135</v>
      </c>
      <c r="F58" s="255">
        <v>0</v>
      </c>
      <c r="G58" s="256">
        <f t="shared" si="9"/>
        <v>135</v>
      </c>
      <c r="H58" s="257">
        <f t="shared" si="8"/>
        <v>135</v>
      </c>
      <c r="I58" s="257"/>
      <c r="J58" s="257"/>
      <c r="K58" s="256"/>
      <c r="L58" s="256"/>
      <c r="M58" s="255">
        <v>135</v>
      </c>
      <c r="N58" s="256"/>
      <c r="O58" s="112" t="s">
        <v>203</v>
      </c>
    </row>
    <row r="59" spans="1:15" s="111" customFormat="1" ht="120">
      <c r="A59" s="258">
        <v>18</v>
      </c>
      <c r="B59" s="221" t="s">
        <v>421</v>
      </c>
      <c r="C59" s="306" t="s">
        <v>52</v>
      </c>
      <c r="D59" s="254">
        <v>180</v>
      </c>
      <c r="E59" s="254">
        <f t="shared" si="7"/>
        <v>180</v>
      </c>
      <c r="F59" s="255">
        <v>0</v>
      </c>
      <c r="G59" s="256">
        <f t="shared" si="9"/>
        <v>180</v>
      </c>
      <c r="H59" s="257">
        <f t="shared" si="8"/>
        <v>180</v>
      </c>
      <c r="I59" s="257"/>
      <c r="J59" s="257"/>
      <c r="K59" s="256"/>
      <c r="L59" s="256"/>
      <c r="M59" s="255">
        <v>180</v>
      </c>
      <c r="N59" s="256"/>
      <c r="O59" s="112" t="s">
        <v>203</v>
      </c>
    </row>
    <row r="60" spans="1:15" s="111" customFormat="1" ht="125.25" customHeight="1">
      <c r="A60" s="258">
        <v>19</v>
      </c>
      <c r="B60" s="221" t="s">
        <v>422</v>
      </c>
      <c r="C60" s="306" t="s">
        <v>52</v>
      </c>
      <c r="D60" s="254">
        <v>128</v>
      </c>
      <c r="E60" s="254">
        <f t="shared" si="7"/>
        <v>128</v>
      </c>
      <c r="F60" s="255">
        <v>0</v>
      </c>
      <c r="G60" s="256">
        <f t="shared" si="9"/>
        <v>128</v>
      </c>
      <c r="H60" s="257">
        <f t="shared" si="8"/>
        <v>128</v>
      </c>
      <c r="I60" s="257"/>
      <c r="J60" s="257"/>
      <c r="K60" s="256"/>
      <c r="L60" s="256"/>
      <c r="M60" s="255">
        <v>128</v>
      </c>
      <c r="N60" s="256"/>
      <c r="O60" s="112" t="s">
        <v>203</v>
      </c>
    </row>
    <row r="61" spans="1:15" s="111" customFormat="1" ht="126.75" customHeight="1">
      <c r="A61" s="258">
        <v>20</v>
      </c>
      <c r="B61" s="221" t="s">
        <v>423</v>
      </c>
      <c r="C61" s="306" t="s">
        <v>52</v>
      </c>
      <c r="D61" s="254">
        <v>128</v>
      </c>
      <c r="E61" s="254">
        <f t="shared" si="7"/>
        <v>128</v>
      </c>
      <c r="F61" s="255">
        <v>0</v>
      </c>
      <c r="G61" s="256">
        <f t="shared" si="9"/>
        <v>128</v>
      </c>
      <c r="H61" s="257">
        <f t="shared" si="8"/>
        <v>128</v>
      </c>
      <c r="I61" s="257"/>
      <c r="J61" s="257"/>
      <c r="K61" s="256"/>
      <c r="L61" s="256"/>
      <c r="M61" s="255">
        <v>128</v>
      </c>
      <c r="N61" s="256"/>
      <c r="O61" s="112" t="s">
        <v>203</v>
      </c>
    </row>
    <row r="62" spans="1:15" s="111" customFormat="1" ht="141.75" customHeight="1">
      <c r="A62" s="258">
        <v>21</v>
      </c>
      <c r="B62" s="221" t="s">
        <v>424</v>
      </c>
      <c r="C62" s="306" t="s">
        <v>52</v>
      </c>
      <c r="D62" s="254">
        <v>160</v>
      </c>
      <c r="E62" s="254">
        <f t="shared" si="7"/>
        <v>160</v>
      </c>
      <c r="F62" s="255">
        <v>0</v>
      </c>
      <c r="G62" s="256">
        <f t="shared" si="9"/>
        <v>160</v>
      </c>
      <c r="H62" s="257">
        <f t="shared" si="8"/>
        <v>160</v>
      </c>
      <c r="I62" s="257"/>
      <c r="J62" s="257"/>
      <c r="K62" s="256"/>
      <c r="L62" s="256"/>
      <c r="M62" s="255">
        <v>160</v>
      </c>
      <c r="N62" s="256"/>
      <c r="O62" s="112" t="s">
        <v>203</v>
      </c>
    </row>
    <row r="63" spans="1:15" s="111" customFormat="1" ht="143.25" customHeight="1">
      <c r="A63" s="258">
        <v>22</v>
      </c>
      <c r="B63" s="221" t="s">
        <v>425</v>
      </c>
      <c r="C63" s="306" t="s">
        <v>52</v>
      </c>
      <c r="D63" s="254">
        <v>128</v>
      </c>
      <c r="E63" s="254">
        <f t="shared" si="7"/>
        <v>128</v>
      </c>
      <c r="F63" s="255">
        <v>0</v>
      </c>
      <c r="G63" s="256">
        <f t="shared" si="9"/>
        <v>128</v>
      </c>
      <c r="H63" s="257">
        <f t="shared" si="8"/>
        <v>128</v>
      </c>
      <c r="I63" s="257"/>
      <c r="J63" s="257"/>
      <c r="K63" s="256"/>
      <c r="L63" s="256"/>
      <c r="M63" s="255">
        <v>128</v>
      </c>
      <c r="N63" s="256"/>
      <c r="O63" s="112" t="s">
        <v>203</v>
      </c>
    </row>
    <row r="64" spans="1:15" s="111" customFormat="1" ht="126" customHeight="1">
      <c r="A64" s="258">
        <v>23</v>
      </c>
      <c r="B64" s="221" t="s">
        <v>426</v>
      </c>
      <c r="C64" s="306" t="s">
        <v>52</v>
      </c>
      <c r="D64" s="254">
        <v>245</v>
      </c>
      <c r="E64" s="254">
        <f t="shared" si="7"/>
        <v>245</v>
      </c>
      <c r="F64" s="255">
        <v>0</v>
      </c>
      <c r="G64" s="256">
        <f t="shared" si="9"/>
        <v>245</v>
      </c>
      <c r="H64" s="257">
        <f t="shared" si="8"/>
        <v>245</v>
      </c>
      <c r="I64" s="257"/>
      <c r="J64" s="257"/>
      <c r="K64" s="256"/>
      <c r="L64" s="256"/>
      <c r="M64" s="255">
        <v>245</v>
      </c>
      <c r="N64" s="256"/>
      <c r="O64" s="112" t="s">
        <v>203</v>
      </c>
    </row>
    <row r="65" spans="1:15" s="111" customFormat="1" ht="120">
      <c r="A65" s="258">
        <v>24</v>
      </c>
      <c r="B65" s="221" t="s">
        <v>340</v>
      </c>
      <c r="C65" s="306" t="s">
        <v>52</v>
      </c>
      <c r="D65" s="254">
        <v>380</v>
      </c>
      <c r="E65" s="254">
        <f t="shared" si="7"/>
        <v>380</v>
      </c>
      <c r="F65" s="255">
        <v>0</v>
      </c>
      <c r="G65" s="256">
        <f t="shared" si="9"/>
        <v>380</v>
      </c>
      <c r="H65" s="257">
        <f t="shared" si="8"/>
        <v>380</v>
      </c>
      <c r="I65" s="257"/>
      <c r="J65" s="257"/>
      <c r="K65" s="256"/>
      <c r="L65" s="256"/>
      <c r="M65" s="255">
        <v>380</v>
      </c>
      <c r="N65" s="256"/>
      <c r="O65" s="112" t="s">
        <v>203</v>
      </c>
    </row>
    <row r="66" spans="1:15" s="111" customFormat="1" ht="120.75" customHeight="1">
      <c r="A66" s="258">
        <v>25</v>
      </c>
      <c r="B66" s="221" t="s">
        <v>427</v>
      </c>
      <c r="C66" s="306" t="s">
        <v>52</v>
      </c>
      <c r="D66" s="254">
        <f>113+230</f>
        <v>343</v>
      </c>
      <c r="E66" s="254">
        <f t="shared" si="7"/>
        <v>343</v>
      </c>
      <c r="F66" s="255">
        <f>44+69</f>
        <v>113</v>
      </c>
      <c r="G66" s="256">
        <f>D66-F66</f>
        <v>230</v>
      </c>
      <c r="H66" s="257">
        <f t="shared" si="8"/>
        <v>230</v>
      </c>
      <c r="I66" s="257"/>
      <c r="J66" s="257"/>
      <c r="K66" s="256"/>
      <c r="L66" s="256"/>
      <c r="M66" s="255">
        <v>230</v>
      </c>
      <c r="N66" s="256"/>
      <c r="O66" s="112" t="s">
        <v>203</v>
      </c>
    </row>
    <row r="67" spans="1:15" s="111" customFormat="1" ht="120">
      <c r="A67" s="258">
        <v>26</v>
      </c>
      <c r="B67" s="221" t="s">
        <v>343</v>
      </c>
      <c r="C67" s="306" t="s">
        <v>52</v>
      </c>
      <c r="D67" s="254">
        <f>23+322</f>
        <v>345</v>
      </c>
      <c r="E67" s="254">
        <f t="shared" si="7"/>
        <v>345</v>
      </c>
      <c r="F67" s="255">
        <v>23</v>
      </c>
      <c r="G67" s="256">
        <f>D67-F67</f>
        <v>322</v>
      </c>
      <c r="H67" s="257">
        <f t="shared" si="8"/>
        <v>322</v>
      </c>
      <c r="I67" s="257"/>
      <c r="J67" s="257"/>
      <c r="K67" s="256"/>
      <c r="L67" s="256"/>
      <c r="M67" s="255">
        <v>322</v>
      </c>
      <c r="N67" s="256"/>
      <c r="O67" s="112" t="s">
        <v>203</v>
      </c>
    </row>
    <row r="68" spans="1:15" s="111" customFormat="1" ht="120">
      <c r="A68" s="258">
        <v>27</v>
      </c>
      <c r="B68" s="221" t="s">
        <v>339</v>
      </c>
      <c r="C68" s="306" t="s">
        <v>52</v>
      </c>
      <c r="D68" s="254">
        <f>44+140</f>
        <v>184</v>
      </c>
      <c r="E68" s="254">
        <f t="shared" si="7"/>
        <v>184</v>
      </c>
      <c r="F68" s="255">
        <v>44</v>
      </c>
      <c r="G68" s="256">
        <f t="shared" si="9"/>
        <v>140</v>
      </c>
      <c r="H68" s="257">
        <f t="shared" si="8"/>
        <v>140</v>
      </c>
      <c r="I68" s="257"/>
      <c r="J68" s="257"/>
      <c r="K68" s="256"/>
      <c r="L68" s="256"/>
      <c r="M68" s="255">
        <v>140</v>
      </c>
      <c r="N68" s="256"/>
      <c r="O68" s="112" t="s">
        <v>203</v>
      </c>
    </row>
    <row r="69" spans="1:15" s="111" customFormat="1" ht="90">
      <c r="A69" s="258">
        <v>28</v>
      </c>
      <c r="B69" s="221" t="s">
        <v>448</v>
      </c>
      <c r="C69" s="306" t="s">
        <v>52</v>
      </c>
      <c r="D69" s="254">
        <v>600</v>
      </c>
      <c r="E69" s="254">
        <f>D69</f>
        <v>600</v>
      </c>
      <c r="F69" s="255">
        <v>0</v>
      </c>
      <c r="G69" s="256">
        <f>D69-F69</f>
        <v>600</v>
      </c>
      <c r="H69" s="257">
        <f>SUM(K69:N69)</f>
        <v>600</v>
      </c>
      <c r="I69" s="257"/>
      <c r="J69" s="257"/>
      <c r="K69" s="256"/>
      <c r="L69" s="256"/>
      <c r="M69" s="255">
        <v>600</v>
      </c>
      <c r="N69" s="256"/>
      <c r="O69" s="112" t="s">
        <v>203</v>
      </c>
    </row>
    <row r="70" spans="1:15" s="111" customFormat="1" ht="45">
      <c r="A70" s="258">
        <v>29</v>
      </c>
      <c r="B70" s="221" t="s">
        <v>95</v>
      </c>
      <c r="C70" s="306" t="s">
        <v>52</v>
      </c>
      <c r="D70" s="254">
        <v>100</v>
      </c>
      <c r="E70" s="254">
        <f>D70</f>
        <v>100</v>
      </c>
      <c r="F70" s="255">
        <v>0</v>
      </c>
      <c r="G70" s="256">
        <f>D70-F70</f>
        <v>100</v>
      </c>
      <c r="H70" s="257">
        <f>SUM(K70:N70)</f>
        <v>100</v>
      </c>
      <c r="I70" s="257"/>
      <c r="J70" s="257"/>
      <c r="K70" s="256"/>
      <c r="L70" s="256"/>
      <c r="M70" s="255">
        <v>100</v>
      </c>
      <c r="N70" s="256"/>
      <c r="O70" s="112" t="s">
        <v>203</v>
      </c>
    </row>
    <row r="71" spans="1:15" s="111" customFormat="1" ht="60">
      <c r="A71" s="258">
        <v>30</v>
      </c>
      <c r="B71" s="186" t="s">
        <v>496</v>
      </c>
      <c r="C71" s="334" t="s">
        <v>524</v>
      </c>
      <c r="D71" s="347">
        <v>68</v>
      </c>
      <c r="E71" s="347">
        <f>D71</f>
        <v>68</v>
      </c>
      <c r="F71" s="316">
        <v>0</v>
      </c>
      <c r="G71" s="322">
        <f>D71-F71</f>
        <v>68</v>
      </c>
      <c r="H71" s="316">
        <f>SUM(K71:N71)</f>
        <v>68</v>
      </c>
      <c r="I71" s="316"/>
      <c r="J71" s="316"/>
      <c r="K71" s="322"/>
      <c r="L71" s="322"/>
      <c r="M71" s="316">
        <v>68</v>
      </c>
      <c r="N71" s="322"/>
      <c r="O71" s="112" t="s">
        <v>203</v>
      </c>
    </row>
    <row r="72" spans="1:15" s="111" customFormat="1" ht="35.25" customHeight="1">
      <c r="A72" s="235"/>
      <c r="B72" s="13"/>
      <c r="C72" s="236" t="s">
        <v>187</v>
      </c>
      <c r="D72" s="237">
        <f aca="true" t="shared" si="10" ref="D72:N72">SUM(D42:D71)</f>
        <v>6727</v>
      </c>
      <c r="E72" s="237">
        <f t="shared" si="10"/>
        <v>6727</v>
      </c>
      <c r="F72" s="237">
        <f t="shared" si="10"/>
        <v>1749</v>
      </c>
      <c r="G72" s="237">
        <f t="shared" si="10"/>
        <v>4978</v>
      </c>
      <c r="H72" s="237">
        <f t="shared" si="10"/>
        <v>4977</v>
      </c>
      <c r="I72" s="237">
        <f t="shared" si="10"/>
        <v>0</v>
      </c>
      <c r="J72" s="237">
        <f t="shared" si="10"/>
        <v>0</v>
      </c>
      <c r="K72" s="237">
        <f t="shared" si="10"/>
        <v>518</v>
      </c>
      <c r="L72" s="237">
        <f t="shared" si="10"/>
        <v>0</v>
      </c>
      <c r="M72" s="237">
        <f t="shared" si="10"/>
        <v>4459</v>
      </c>
      <c r="N72" s="237">
        <f t="shared" si="10"/>
        <v>0</v>
      </c>
      <c r="O72" s="238"/>
    </row>
    <row r="73" spans="1:15" s="111" customFormat="1" ht="35.25" customHeight="1">
      <c r="A73" s="235"/>
      <c r="B73" s="13"/>
      <c r="C73" s="236"/>
      <c r="D73" s="14"/>
      <c r="E73" s="14"/>
      <c r="F73" s="14"/>
      <c r="G73" s="14"/>
      <c r="H73" s="14"/>
      <c r="I73" s="14"/>
      <c r="J73" s="14"/>
      <c r="K73" s="14"/>
      <c r="L73" s="14"/>
      <c r="M73" s="14"/>
      <c r="N73" s="14"/>
      <c r="O73" s="238"/>
    </row>
    <row r="74" spans="1:15" s="111" customFormat="1" ht="35.25" customHeight="1">
      <c r="A74" s="235"/>
      <c r="B74" s="13"/>
      <c r="C74" s="236"/>
      <c r="D74" s="14"/>
      <c r="E74" s="14"/>
      <c r="F74" s="14"/>
      <c r="G74" s="14"/>
      <c r="H74" s="14"/>
      <c r="I74" s="14"/>
      <c r="J74" s="14"/>
      <c r="K74" s="14"/>
      <c r="L74" s="14"/>
      <c r="M74" s="14"/>
      <c r="N74" s="14"/>
      <c r="O74" s="238"/>
    </row>
    <row r="75" spans="1:15" s="111" customFormat="1" ht="35.25" customHeight="1">
      <c r="A75" s="235"/>
      <c r="B75" s="13"/>
      <c r="C75" s="236"/>
      <c r="D75" s="14"/>
      <c r="E75" s="14"/>
      <c r="F75" s="14"/>
      <c r="G75" s="14"/>
      <c r="H75" s="14"/>
      <c r="I75" s="14"/>
      <c r="J75" s="14"/>
      <c r="K75" s="14"/>
      <c r="L75" s="14"/>
      <c r="M75" s="14"/>
      <c r="N75" s="14"/>
      <c r="O75" s="238"/>
    </row>
    <row r="76" spans="1:15" s="111" customFormat="1" ht="19.5" customHeight="1">
      <c r="A76" s="235"/>
      <c r="B76" s="13"/>
      <c r="C76" s="236"/>
      <c r="D76" s="14"/>
      <c r="E76" s="14"/>
      <c r="F76" s="14"/>
      <c r="G76" s="14"/>
      <c r="H76" s="14"/>
      <c r="I76" s="14"/>
      <c r="J76" s="14"/>
      <c r="K76" s="14"/>
      <c r="L76" s="14"/>
      <c r="M76" s="14"/>
      <c r="N76" s="14"/>
      <c r="O76" s="238"/>
    </row>
    <row r="77" spans="1:15" s="111" customFormat="1" ht="27" customHeight="1" thickBot="1">
      <c r="A77" s="406" t="s">
        <v>261</v>
      </c>
      <c r="B77" s="406"/>
      <c r="C77" s="236"/>
      <c r="D77" s="14"/>
      <c r="E77" s="14"/>
      <c r="F77" s="14"/>
      <c r="G77" s="14"/>
      <c r="H77" s="14"/>
      <c r="I77" s="14"/>
      <c r="J77" s="14"/>
      <c r="K77" s="14"/>
      <c r="L77" s="14"/>
      <c r="M77" s="14"/>
      <c r="N77" s="109" t="s">
        <v>185</v>
      </c>
      <c r="O77" s="238"/>
    </row>
    <row r="78" spans="1:15" s="111" customFormat="1" ht="60.75" thickBot="1">
      <c r="A78" s="293" t="s">
        <v>186</v>
      </c>
      <c r="B78" s="294" t="s">
        <v>188</v>
      </c>
      <c r="C78" s="295" t="s">
        <v>223</v>
      </c>
      <c r="D78" s="294" t="s">
        <v>457</v>
      </c>
      <c r="E78" s="296" t="s">
        <v>220</v>
      </c>
      <c r="F78" s="297" t="s">
        <v>458</v>
      </c>
      <c r="G78" s="297" t="s">
        <v>278</v>
      </c>
      <c r="H78" s="297" t="s">
        <v>459</v>
      </c>
      <c r="I78" s="125" t="s">
        <v>222</v>
      </c>
      <c r="J78" s="126" t="s">
        <v>221</v>
      </c>
      <c r="K78" s="298" t="s">
        <v>254</v>
      </c>
      <c r="L78" s="297" t="s">
        <v>432</v>
      </c>
      <c r="M78" s="297" t="s">
        <v>192</v>
      </c>
      <c r="N78" s="299" t="s">
        <v>204</v>
      </c>
      <c r="O78" s="102"/>
    </row>
    <row r="79" spans="1:15" s="111" customFormat="1" ht="89.25" customHeight="1">
      <c r="A79" s="258">
        <v>1</v>
      </c>
      <c r="B79" s="253" t="s">
        <v>310</v>
      </c>
      <c r="C79" s="306" t="s">
        <v>52</v>
      </c>
      <c r="D79" s="254">
        <v>270</v>
      </c>
      <c r="E79" s="254">
        <f>D79</f>
        <v>270</v>
      </c>
      <c r="F79" s="255">
        <v>0</v>
      </c>
      <c r="G79" s="256">
        <f aca="true" t="shared" si="11" ref="G79:G88">D79-F79</f>
        <v>270</v>
      </c>
      <c r="H79" s="257">
        <f aca="true" t="shared" si="12" ref="H79:H88">SUM(K79:N79)</f>
        <v>270</v>
      </c>
      <c r="I79" s="257"/>
      <c r="J79" s="257"/>
      <c r="K79" s="256">
        <v>270</v>
      </c>
      <c r="L79" s="256"/>
      <c r="M79" s="255">
        <v>0</v>
      </c>
      <c r="N79" s="256"/>
      <c r="O79" s="112" t="s">
        <v>203</v>
      </c>
    </row>
    <row r="80" spans="1:15" s="111" customFormat="1" ht="73.5" customHeight="1">
      <c r="A80" s="258">
        <v>2</v>
      </c>
      <c r="B80" s="253" t="s">
        <v>419</v>
      </c>
      <c r="C80" s="306" t="s">
        <v>52</v>
      </c>
      <c r="D80" s="254">
        <f>1729+4300</f>
        <v>6029</v>
      </c>
      <c r="E80" s="254">
        <f aca="true" t="shared" si="13" ref="E80:E88">D80</f>
        <v>6029</v>
      </c>
      <c r="F80" s="255">
        <v>1729</v>
      </c>
      <c r="G80" s="256">
        <f t="shared" si="11"/>
        <v>4300</v>
      </c>
      <c r="H80" s="257">
        <f t="shared" si="12"/>
        <v>4300</v>
      </c>
      <c r="I80" s="257"/>
      <c r="J80" s="257"/>
      <c r="K80" s="256"/>
      <c r="L80" s="256"/>
      <c r="M80" s="255">
        <v>4300</v>
      </c>
      <c r="N80" s="256"/>
      <c r="O80" s="112" t="s">
        <v>203</v>
      </c>
    </row>
    <row r="81" spans="1:17" s="111" customFormat="1" ht="59.25" customHeight="1">
      <c r="A81" s="258">
        <v>3</v>
      </c>
      <c r="B81" s="253" t="s">
        <v>132</v>
      </c>
      <c r="C81" s="306" t="s">
        <v>295</v>
      </c>
      <c r="D81" s="254">
        <v>20</v>
      </c>
      <c r="E81" s="254">
        <f t="shared" si="13"/>
        <v>20</v>
      </c>
      <c r="F81" s="255">
        <v>0</v>
      </c>
      <c r="G81" s="256">
        <f t="shared" si="11"/>
        <v>20</v>
      </c>
      <c r="H81" s="257">
        <f t="shared" si="12"/>
        <v>20</v>
      </c>
      <c r="I81" s="257"/>
      <c r="J81" s="257"/>
      <c r="K81" s="256"/>
      <c r="L81" s="256">
        <v>20</v>
      </c>
      <c r="M81" s="255">
        <v>0</v>
      </c>
      <c r="N81" s="256"/>
      <c r="O81" s="112" t="s">
        <v>203</v>
      </c>
      <c r="Q81" s="260"/>
    </row>
    <row r="82" spans="1:15" s="111" customFormat="1" ht="60.75" customHeight="1">
      <c r="A82" s="258">
        <v>4</v>
      </c>
      <c r="B82" s="253" t="s">
        <v>135</v>
      </c>
      <c r="C82" s="306" t="s">
        <v>295</v>
      </c>
      <c r="D82" s="254">
        <v>20</v>
      </c>
      <c r="E82" s="254">
        <f t="shared" si="13"/>
        <v>20</v>
      </c>
      <c r="F82" s="255">
        <v>0</v>
      </c>
      <c r="G82" s="256">
        <f t="shared" si="11"/>
        <v>20</v>
      </c>
      <c r="H82" s="257">
        <f t="shared" si="12"/>
        <v>20</v>
      </c>
      <c r="I82" s="257"/>
      <c r="J82" s="257"/>
      <c r="K82" s="256"/>
      <c r="L82" s="256">
        <v>20</v>
      </c>
      <c r="M82" s="255">
        <v>0</v>
      </c>
      <c r="N82" s="256"/>
      <c r="O82" s="112" t="s">
        <v>203</v>
      </c>
    </row>
    <row r="83" spans="1:15" s="111" customFormat="1" ht="65.25" customHeight="1">
      <c r="A83" s="258">
        <v>5</v>
      </c>
      <c r="B83" s="253" t="s">
        <v>128</v>
      </c>
      <c r="C83" s="306" t="s">
        <v>295</v>
      </c>
      <c r="D83" s="254">
        <v>10</v>
      </c>
      <c r="E83" s="254">
        <f t="shared" si="13"/>
        <v>10</v>
      </c>
      <c r="F83" s="255">
        <v>0</v>
      </c>
      <c r="G83" s="256">
        <f t="shared" si="11"/>
        <v>10</v>
      </c>
      <c r="H83" s="257">
        <f t="shared" si="12"/>
        <v>10</v>
      </c>
      <c r="I83" s="257"/>
      <c r="J83" s="257"/>
      <c r="K83" s="256"/>
      <c r="L83" s="256">
        <v>10</v>
      </c>
      <c r="M83" s="255">
        <v>0</v>
      </c>
      <c r="N83" s="256"/>
      <c r="O83" s="112" t="s">
        <v>203</v>
      </c>
    </row>
    <row r="84" spans="1:15" s="111" customFormat="1" ht="60">
      <c r="A84" s="258">
        <v>6</v>
      </c>
      <c r="B84" s="253" t="s">
        <v>130</v>
      </c>
      <c r="C84" s="306" t="s">
        <v>295</v>
      </c>
      <c r="D84" s="254">
        <v>20</v>
      </c>
      <c r="E84" s="254">
        <f>D84</f>
        <v>20</v>
      </c>
      <c r="F84" s="255">
        <v>0</v>
      </c>
      <c r="G84" s="256">
        <f>D84-F84</f>
        <v>20</v>
      </c>
      <c r="H84" s="257">
        <f>SUM(K84:N84)</f>
        <v>20</v>
      </c>
      <c r="I84" s="257"/>
      <c r="J84" s="257"/>
      <c r="K84" s="256"/>
      <c r="L84" s="256">
        <v>20</v>
      </c>
      <c r="M84" s="255">
        <v>0</v>
      </c>
      <c r="N84" s="256"/>
      <c r="O84" s="112" t="s">
        <v>203</v>
      </c>
    </row>
    <row r="85" spans="1:15" s="111" customFormat="1" ht="75">
      <c r="A85" s="258">
        <v>7</v>
      </c>
      <c r="B85" s="253" t="s">
        <v>127</v>
      </c>
      <c r="C85" s="306" t="s">
        <v>295</v>
      </c>
      <c r="D85" s="254">
        <v>50</v>
      </c>
      <c r="E85" s="254">
        <f>D85</f>
        <v>50</v>
      </c>
      <c r="F85" s="255">
        <v>0</v>
      </c>
      <c r="G85" s="256">
        <f>D85-F85</f>
        <v>50</v>
      </c>
      <c r="H85" s="257">
        <f>SUM(K85:N85)</f>
        <v>50</v>
      </c>
      <c r="I85" s="257"/>
      <c r="J85" s="257"/>
      <c r="K85" s="256"/>
      <c r="L85" s="256">
        <v>50</v>
      </c>
      <c r="M85" s="255">
        <v>0</v>
      </c>
      <c r="N85" s="256"/>
      <c r="O85" s="112" t="s">
        <v>203</v>
      </c>
    </row>
    <row r="86" spans="1:15" s="111" customFormat="1" ht="141" customHeight="1">
      <c r="A86" s="258">
        <v>8</v>
      </c>
      <c r="B86" s="253" t="s">
        <v>450</v>
      </c>
      <c r="C86" s="306" t="s">
        <v>295</v>
      </c>
      <c r="D86" s="254">
        <v>161</v>
      </c>
      <c r="E86" s="254">
        <f t="shared" si="13"/>
        <v>161</v>
      </c>
      <c r="F86" s="255">
        <v>0</v>
      </c>
      <c r="G86" s="256">
        <f t="shared" si="11"/>
        <v>161</v>
      </c>
      <c r="H86" s="257">
        <f t="shared" si="12"/>
        <v>161</v>
      </c>
      <c r="I86" s="257"/>
      <c r="J86" s="257"/>
      <c r="K86" s="256"/>
      <c r="L86" s="256">
        <v>161</v>
      </c>
      <c r="M86" s="255">
        <v>0</v>
      </c>
      <c r="N86" s="256"/>
      <c r="O86" s="112" t="s">
        <v>203</v>
      </c>
    </row>
    <row r="87" spans="1:15" s="111" customFormat="1" ht="66.75" customHeight="1">
      <c r="A87" s="258">
        <v>9</v>
      </c>
      <c r="B87" s="253" t="s">
        <v>451</v>
      </c>
      <c r="C87" s="306" t="s">
        <v>295</v>
      </c>
      <c r="D87" s="254">
        <v>15</v>
      </c>
      <c r="E87" s="254">
        <f t="shared" si="13"/>
        <v>15</v>
      </c>
      <c r="F87" s="255">
        <v>0</v>
      </c>
      <c r="G87" s="256">
        <f t="shared" si="11"/>
        <v>15</v>
      </c>
      <c r="H87" s="257">
        <f t="shared" si="12"/>
        <v>15</v>
      </c>
      <c r="I87" s="257"/>
      <c r="J87" s="257"/>
      <c r="K87" s="256"/>
      <c r="L87" s="256">
        <v>15</v>
      </c>
      <c r="M87" s="255">
        <v>0</v>
      </c>
      <c r="N87" s="256"/>
      <c r="O87" s="112" t="s">
        <v>203</v>
      </c>
    </row>
    <row r="88" spans="1:15" s="111" customFormat="1" ht="57.75" customHeight="1">
      <c r="A88" s="258">
        <v>10</v>
      </c>
      <c r="B88" s="253" t="s">
        <v>137</v>
      </c>
      <c r="C88" s="306" t="s">
        <v>295</v>
      </c>
      <c r="D88" s="254">
        <v>10</v>
      </c>
      <c r="E88" s="254">
        <f t="shared" si="13"/>
        <v>10</v>
      </c>
      <c r="F88" s="255">
        <v>0</v>
      </c>
      <c r="G88" s="256">
        <f t="shared" si="11"/>
        <v>10</v>
      </c>
      <c r="H88" s="257">
        <f t="shared" si="12"/>
        <v>10</v>
      </c>
      <c r="I88" s="257"/>
      <c r="J88" s="257"/>
      <c r="K88" s="256"/>
      <c r="L88" s="256">
        <v>10</v>
      </c>
      <c r="M88" s="255">
        <v>0</v>
      </c>
      <c r="N88" s="256"/>
      <c r="O88" s="112" t="s">
        <v>203</v>
      </c>
    </row>
    <row r="89" spans="1:15" s="110" customFormat="1" ht="33" customHeight="1">
      <c r="A89" s="235"/>
      <c r="B89" s="262"/>
      <c r="C89" s="236" t="s">
        <v>187</v>
      </c>
      <c r="D89" s="257">
        <f>SUM(D79:D88)</f>
        <v>6605</v>
      </c>
      <c r="E89" s="257">
        <f aca="true" t="shared" si="14" ref="E89:N89">SUM(E79:E88)</f>
        <v>6605</v>
      </c>
      <c r="F89" s="257">
        <f t="shared" si="14"/>
        <v>1729</v>
      </c>
      <c r="G89" s="257">
        <f t="shared" si="14"/>
        <v>4876</v>
      </c>
      <c r="H89" s="257">
        <f t="shared" si="14"/>
        <v>4876</v>
      </c>
      <c r="I89" s="257">
        <f t="shared" si="14"/>
        <v>0</v>
      </c>
      <c r="J89" s="257">
        <f t="shared" si="14"/>
        <v>0</v>
      </c>
      <c r="K89" s="257">
        <f t="shared" si="14"/>
        <v>270</v>
      </c>
      <c r="L89" s="257">
        <f t="shared" si="14"/>
        <v>306</v>
      </c>
      <c r="M89" s="257">
        <f t="shared" si="14"/>
        <v>4300</v>
      </c>
      <c r="N89" s="257">
        <f t="shared" si="14"/>
        <v>0</v>
      </c>
      <c r="O89" s="238"/>
    </row>
    <row r="90" spans="1:15" s="110" customFormat="1" ht="33" customHeight="1">
      <c r="A90" s="235"/>
      <c r="B90" s="262"/>
      <c r="C90" s="236"/>
      <c r="D90" s="14"/>
      <c r="E90" s="14"/>
      <c r="F90" s="14"/>
      <c r="G90" s="14"/>
      <c r="H90" s="14"/>
      <c r="I90" s="14"/>
      <c r="J90" s="14"/>
      <c r="K90" s="14"/>
      <c r="L90" s="14"/>
      <c r="M90" s="14"/>
      <c r="N90" s="14"/>
      <c r="O90" s="238"/>
    </row>
    <row r="91" spans="1:15" s="110" customFormat="1" ht="33" customHeight="1">
      <c r="A91" s="235"/>
      <c r="B91" s="262"/>
      <c r="C91" s="236"/>
      <c r="D91" s="14"/>
      <c r="E91" s="14"/>
      <c r="F91" s="14"/>
      <c r="G91" s="14"/>
      <c r="H91" s="14"/>
      <c r="I91" s="14"/>
      <c r="J91" s="14"/>
      <c r="K91" s="14"/>
      <c r="L91" s="14"/>
      <c r="M91" s="14"/>
      <c r="N91" s="14"/>
      <c r="O91" s="238"/>
    </row>
    <row r="92" spans="1:15" s="110" customFormat="1" ht="33" customHeight="1">
      <c r="A92" s="235"/>
      <c r="B92" s="262"/>
      <c r="C92" s="236"/>
      <c r="D92" s="14"/>
      <c r="E92" s="14"/>
      <c r="F92" s="14"/>
      <c r="G92" s="14"/>
      <c r="H92" s="14"/>
      <c r="I92" s="14"/>
      <c r="J92" s="14"/>
      <c r="K92" s="14"/>
      <c r="L92" s="14"/>
      <c r="M92" s="14"/>
      <c r="N92" s="14"/>
      <c r="O92" s="238"/>
    </row>
    <row r="93" spans="1:15" s="110" customFormat="1" ht="16.5" customHeight="1">
      <c r="A93" s="235"/>
      <c r="B93" s="262"/>
      <c r="C93" s="236"/>
      <c r="D93" s="14"/>
      <c r="E93" s="14"/>
      <c r="F93" s="14"/>
      <c r="G93" s="14"/>
      <c r="H93" s="14"/>
      <c r="I93" s="14"/>
      <c r="J93" s="14"/>
      <c r="K93" s="14"/>
      <c r="L93" s="14"/>
      <c r="M93" s="14"/>
      <c r="N93" s="14"/>
      <c r="O93" s="238"/>
    </row>
    <row r="94" spans="1:15" s="111" customFormat="1" ht="36" customHeight="1" thickBot="1">
      <c r="A94" s="106" t="s">
        <v>274</v>
      </c>
      <c r="B94" s="13"/>
      <c r="C94" s="236"/>
      <c r="D94" s="14"/>
      <c r="E94" s="14"/>
      <c r="F94" s="14"/>
      <c r="G94" s="14"/>
      <c r="H94" s="14"/>
      <c r="I94" s="14"/>
      <c r="J94" s="14"/>
      <c r="K94" s="14"/>
      <c r="L94" s="14"/>
      <c r="M94" s="14"/>
      <c r="N94" s="109" t="s">
        <v>185</v>
      </c>
      <c r="O94" s="238"/>
    </row>
    <row r="95" spans="1:15" s="110" customFormat="1" ht="50.25" customHeight="1" thickBot="1">
      <c r="A95" s="293" t="s">
        <v>186</v>
      </c>
      <c r="B95" s="294" t="s">
        <v>188</v>
      </c>
      <c r="C95" s="295" t="s">
        <v>223</v>
      </c>
      <c r="D95" s="294" t="s">
        <v>457</v>
      </c>
      <c r="E95" s="296" t="s">
        <v>220</v>
      </c>
      <c r="F95" s="297" t="s">
        <v>458</v>
      </c>
      <c r="G95" s="297" t="s">
        <v>278</v>
      </c>
      <c r="H95" s="297" t="s">
        <v>459</v>
      </c>
      <c r="I95" s="125" t="s">
        <v>222</v>
      </c>
      <c r="J95" s="126" t="s">
        <v>221</v>
      </c>
      <c r="K95" s="298" t="s">
        <v>254</v>
      </c>
      <c r="L95" s="297" t="s">
        <v>432</v>
      </c>
      <c r="M95" s="297" t="s">
        <v>192</v>
      </c>
      <c r="N95" s="299" t="s">
        <v>204</v>
      </c>
      <c r="O95" s="102"/>
    </row>
    <row r="96" spans="1:15" s="110" customFormat="1" ht="61.5" customHeight="1">
      <c r="A96" s="337">
        <v>1</v>
      </c>
      <c r="B96" s="340" t="s">
        <v>472</v>
      </c>
      <c r="C96" s="307" t="s">
        <v>471</v>
      </c>
      <c r="D96" s="347">
        <v>500</v>
      </c>
      <c r="E96" s="347">
        <f aca="true" t="shared" si="15" ref="E96:E101">D96</f>
        <v>500</v>
      </c>
      <c r="F96" s="316">
        <v>0</v>
      </c>
      <c r="G96" s="322">
        <f aca="true" t="shared" si="16" ref="G96:G111">D96-F96</f>
        <v>500</v>
      </c>
      <c r="H96" s="316">
        <f aca="true" t="shared" si="17" ref="H96:H111">SUM(K96:N96)</f>
        <v>500</v>
      </c>
      <c r="I96" s="316"/>
      <c r="J96" s="316"/>
      <c r="K96" s="322"/>
      <c r="L96" s="322"/>
      <c r="M96" s="316">
        <v>500</v>
      </c>
      <c r="N96" s="322"/>
      <c r="O96" s="112" t="s">
        <v>203</v>
      </c>
    </row>
    <row r="97" spans="1:15" s="110" customFormat="1" ht="59.25" customHeight="1">
      <c r="A97" s="337">
        <v>2</v>
      </c>
      <c r="B97" s="340" t="s">
        <v>473</v>
      </c>
      <c r="C97" s="307" t="s">
        <v>471</v>
      </c>
      <c r="D97" s="347">
        <v>1000</v>
      </c>
      <c r="E97" s="347">
        <f t="shared" si="15"/>
        <v>1000</v>
      </c>
      <c r="F97" s="316">
        <v>0</v>
      </c>
      <c r="G97" s="322">
        <f t="shared" si="16"/>
        <v>1000</v>
      </c>
      <c r="H97" s="316">
        <f t="shared" si="17"/>
        <v>1000</v>
      </c>
      <c r="I97" s="316"/>
      <c r="J97" s="316"/>
      <c r="K97" s="322"/>
      <c r="L97" s="322"/>
      <c r="M97" s="316">
        <v>1000</v>
      </c>
      <c r="N97" s="322"/>
      <c r="O97" s="112" t="s">
        <v>203</v>
      </c>
    </row>
    <row r="98" spans="1:15" s="110" customFormat="1" ht="58.5" customHeight="1">
      <c r="A98" s="337">
        <v>3</v>
      </c>
      <c r="B98" s="340" t="s">
        <v>474</v>
      </c>
      <c r="C98" s="307" t="s">
        <v>471</v>
      </c>
      <c r="D98" s="347">
        <v>1</v>
      </c>
      <c r="E98" s="347">
        <f t="shared" si="15"/>
        <v>1</v>
      </c>
      <c r="F98" s="316">
        <v>0</v>
      </c>
      <c r="G98" s="322">
        <f t="shared" si="16"/>
        <v>1</v>
      </c>
      <c r="H98" s="316">
        <f t="shared" si="17"/>
        <v>1</v>
      </c>
      <c r="I98" s="316"/>
      <c r="J98" s="316"/>
      <c r="K98" s="322"/>
      <c r="L98" s="322"/>
      <c r="M98" s="316">
        <v>1</v>
      </c>
      <c r="N98" s="322"/>
      <c r="O98" s="112" t="s">
        <v>203</v>
      </c>
    </row>
    <row r="99" spans="1:15" s="110" customFormat="1" ht="59.25" customHeight="1">
      <c r="A99" s="337">
        <v>4</v>
      </c>
      <c r="B99" s="340" t="s">
        <v>475</v>
      </c>
      <c r="C99" s="307" t="s">
        <v>471</v>
      </c>
      <c r="D99" s="347">
        <v>100</v>
      </c>
      <c r="E99" s="347">
        <f t="shared" si="15"/>
        <v>100</v>
      </c>
      <c r="F99" s="316">
        <v>0</v>
      </c>
      <c r="G99" s="322">
        <f t="shared" si="16"/>
        <v>100</v>
      </c>
      <c r="H99" s="316">
        <f t="shared" si="17"/>
        <v>100</v>
      </c>
      <c r="I99" s="316"/>
      <c r="J99" s="316"/>
      <c r="K99" s="322"/>
      <c r="L99" s="322"/>
      <c r="M99" s="316">
        <v>100</v>
      </c>
      <c r="N99" s="322"/>
      <c r="O99" s="112" t="s">
        <v>203</v>
      </c>
    </row>
    <row r="100" spans="1:22" s="110" customFormat="1" ht="60.75" customHeight="1">
      <c r="A100" s="337">
        <v>5</v>
      </c>
      <c r="B100" s="340" t="s">
        <v>476</v>
      </c>
      <c r="C100" s="307" t="s">
        <v>471</v>
      </c>
      <c r="D100" s="347">
        <v>200</v>
      </c>
      <c r="E100" s="347">
        <f t="shared" si="15"/>
        <v>200</v>
      </c>
      <c r="F100" s="316">
        <v>0</v>
      </c>
      <c r="G100" s="322">
        <f t="shared" si="16"/>
        <v>200</v>
      </c>
      <c r="H100" s="316">
        <f t="shared" si="17"/>
        <v>200</v>
      </c>
      <c r="I100" s="316"/>
      <c r="J100" s="316"/>
      <c r="K100" s="322"/>
      <c r="L100" s="322"/>
      <c r="M100" s="316">
        <v>200</v>
      </c>
      <c r="N100" s="322"/>
      <c r="O100" s="112" t="s">
        <v>203</v>
      </c>
      <c r="V100" s="110">
        <f>10+68+341+49+43+100+12+3+21+32+3+15+3+180+63</f>
        <v>943</v>
      </c>
    </row>
    <row r="101" spans="1:15" s="110" customFormat="1" ht="75">
      <c r="A101" s="337">
        <v>6</v>
      </c>
      <c r="B101" s="340" t="s">
        <v>27</v>
      </c>
      <c r="C101" s="306" t="s">
        <v>526</v>
      </c>
      <c r="D101" s="320">
        <v>161</v>
      </c>
      <c r="E101" s="321">
        <f t="shared" si="15"/>
        <v>161</v>
      </c>
      <c r="F101" s="322">
        <v>0</v>
      </c>
      <c r="G101" s="256">
        <f t="shared" si="16"/>
        <v>161</v>
      </c>
      <c r="H101" s="257">
        <f t="shared" si="17"/>
        <v>161</v>
      </c>
      <c r="I101" s="237"/>
      <c r="J101" s="237"/>
      <c r="K101" s="322"/>
      <c r="L101" s="322"/>
      <c r="M101" s="316">
        <v>161</v>
      </c>
      <c r="N101" s="256"/>
      <c r="O101" s="112" t="s">
        <v>203</v>
      </c>
    </row>
    <row r="102" spans="1:15" s="110" customFormat="1" ht="75">
      <c r="A102" s="337">
        <v>7</v>
      </c>
      <c r="B102" s="340" t="s">
        <v>28</v>
      </c>
      <c r="C102" s="307" t="s">
        <v>10</v>
      </c>
      <c r="D102" s="320">
        <v>90</v>
      </c>
      <c r="E102" s="321">
        <f>D102</f>
        <v>90</v>
      </c>
      <c r="F102" s="322">
        <v>0</v>
      </c>
      <c r="G102" s="256">
        <f>D102-F102</f>
        <v>90</v>
      </c>
      <c r="H102" s="257">
        <f t="shared" si="17"/>
        <v>90</v>
      </c>
      <c r="I102" s="237"/>
      <c r="J102" s="237"/>
      <c r="K102" s="322"/>
      <c r="L102" s="322"/>
      <c r="M102" s="316">
        <v>90</v>
      </c>
      <c r="N102" s="256"/>
      <c r="O102" s="112" t="s">
        <v>203</v>
      </c>
    </row>
    <row r="103" spans="1:15" s="110" customFormat="1" ht="180">
      <c r="A103" s="337">
        <v>8</v>
      </c>
      <c r="B103" s="340" t="s">
        <v>40</v>
      </c>
      <c r="C103" s="307" t="s">
        <v>10</v>
      </c>
      <c r="D103" s="320">
        <v>261</v>
      </c>
      <c r="E103" s="321">
        <f>D103</f>
        <v>261</v>
      </c>
      <c r="F103" s="322">
        <v>0</v>
      </c>
      <c r="G103" s="256">
        <f>D103-F103</f>
        <v>261</v>
      </c>
      <c r="H103" s="257">
        <f t="shared" si="17"/>
        <v>261</v>
      </c>
      <c r="I103" s="237"/>
      <c r="J103" s="237"/>
      <c r="K103" s="322"/>
      <c r="L103" s="322"/>
      <c r="M103" s="316">
        <v>261</v>
      </c>
      <c r="N103" s="256"/>
      <c r="O103" s="112" t="s">
        <v>203</v>
      </c>
    </row>
    <row r="104" spans="1:15" s="110" customFormat="1" ht="75">
      <c r="A104" s="337">
        <v>9</v>
      </c>
      <c r="B104" s="340" t="s">
        <v>47</v>
      </c>
      <c r="C104" s="307" t="s">
        <v>10</v>
      </c>
      <c r="D104" s="320">
        <v>90</v>
      </c>
      <c r="E104" s="321">
        <f>D104</f>
        <v>90</v>
      </c>
      <c r="F104" s="322">
        <v>0</v>
      </c>
      <c r="G104" s="256">
        <f>D104-F104</f>
        <v>90</v>
      </c>
      <c r="H104" s="257">
        <f t="shared" si="17"/>
        <v>90</v>
      </c>
      <c r="I104" s="237"/>
      <c r="J104" s="237"/>
      <c r="K104" s="322"/>
      <c r="L104" s="322"/>
      <c r="M104" s="316">
        <v>90</v>
      </c>
      <c r="N104" s="256"/>
      <c r="O104" s="112" t="s">
        <v>203</v>
      </c>
    </row>
    <row r="105" spans="1:15" s="110" customFormat="1" ht="52.5">
      <c r="A105" s="337">
        <v>10</v>
      </c>
      <c r="B105" s="340" t="s">
        <v>48</v>
      </c>
      <c r="C105" s="307" t="s">
        <v>10</v>
      </c>
      <c r="D105" s="320">
        <v>100</v>
      </c>
      <c r="E105" s="321">
        <f>D105</f>
        <v>100</v>
      </c>
      <c r="F105" s="322">
        <v>0</v>
      </c>
      <c r="G105" s="256">
        <f>D105-F105</f>
        <v>100</v>
      </c>
      <c r="H105" s="257">
        <f t="shared" si="17"/>
        <v>100</v>
      </c>
      <c r="I105" s="237"/>
      <c r="J105" s="237"/>
      <c r="K105" s="322"/>
      <c r="L105" s="322"/>
      <c r="M105" s="316">
        <v>100</v>
      </c>
      <c r="N105" s="256"/>
      <c r="O105" s="112" t="s">
        <v>203</v>
      </c>
    </row>
    <row r="106" spans="1:15" s="110" customFormat="1" ht="75">
      <c r="A106" s="337">
        <v>11</v>
      </c>
      <c r="B106" s="340" t="s">
        <v>96</v>
      </c>
      <c r="C106" s="342" t="s">
        <v>52</v>
      </c>
      <c r="D106" s="347">
        <v>600</v>
      </c>
      <c r="E106" s="347">
        <f aca="true" t="shared" si="18" ref="E106:E111">D106</f>
        <v>600</v>
      </c>
      <c r="F106" s="316">
        <v>0</v>
      </c>
      <c r="G106" s="322">
        <f t="shared" si="16"/>
        <v>600</v>
      </c>
      <c r="H106" s="316">
        <f t="shared" si="17"/>
        <v>600</v>
      </c>
      <c r="I106" s="316"/>
      <c r="J106" s="316"/>
      <c r="K106" s="322"/>
      <c r="L106" s="322"/>
      <c r="M106" s="316">
        <v>600</v>
      </c>
      <c r="N106" s="322"/>
      <c r="O106" s="112" t="s">
        <v>203</v>
      </c>
    </row>
    <row r="107" spans="1:15" s="110" customFormat="1" ht="72" customHeight="1">
      <c r="A107" s="337">
        <v>12</v>
      </c>
      <c r="B107" s="317" t="s">
        <v>98</v>
      </c>
      <c r="C107" s="342" t="s">
        <v>52</v>
      </c>
      <c r="D107" s="254">
        <v>100</v>
      </c>
      <c r="E107" s="347">
        <f t="shared" si="18"/>
        <v>100</v>
      </c>
      <c r="F107" s="255">
        <v>0</v>
      </c>
      <c r="G107" s="256">
        <f t="shared" si="16"/>
        <v>100</v>
      </c>
      <c r="H107" s="257">
        <f t="shared" si="17"/>
        <v>100</v>
      </c>
      <c r="I107" s="257"/>
      <c r="J107" s="257"/>
      <c r="K107" s="256"/>
      <c r="L107" s="256"/>
      <c r="M107" s="255">
        <v>100</v>
      </c>
      <c r="N107" s="256"/>
      <c r="O107" s="112" t="s">
        <v>203</v>
      </c>
    </row>
    <row r="108" spans="1:15" s="110" customFormat="1" ht="72" customHeight="1">
      <c r="A108" s="337">
        <v>13</v>
      </c>
      <c r="B108" s="317" t="s">
        <v>99</v>
      </c>
      <c r="C108" s="342" t="s">
        <v>52</v>
      </c>
      <c r="D108" s="254">
        <v>50</v>
      </c>
      <c r="E108" s="347">
        <f>D108</f>
        <v>50</v>
      </c>
      <c r="F108" s="255">
        <v>0</v>
      </c>
      <c r="G108" s="256">
        <f>D108-F108</f>
        <v>50</v>
      </c>
      <c r="H108" s="257">
        <f t="shared" si="17"/>
        <v>50</v>
      </c>
      <c r="I108" s="257"/>
      <c r="J108" s="257"/>
      <c r="K108" s="256"/>
      <c r="L108" s="256"/>
      <c r="M108" s="255">
        <v>50</v>
      </c>
      <c r="N108" s="256"/>
      <c r="O108" s="112" t="s">
        <v>203</v>
      </c>
    </row>
    <row r="109" spans="1:15" s="110" customFormat="1" ht="74.25" customHeight="1">
      <c r="A109" s="337">
        <v>14</v>
      </c>
      <c r="B109" s="317" t="s">
        <v>113</v>
      </c>
      <c r="C109" s="342" t="s">
        <v>52</v>
      </c>
      <c r="D109" s="254">
        <f>15053+1591</f>
        <v>16644</v>
      </c>
      <c r="E109" s="347">
        <f t="shared" si="18"/>
        <v>16644</v>
      </c>
      <c r="F109" s="255">
        <v>1591</v>
      </c>
      <c r="G109" s="256">
        <f t="shared" si="16"/>
        <v>15053</v>
      </c>
      <c r="H109" s="257">
        <f t="shared" si="17"/>
        <v>516</v>
      </c>
      <c r="I109" s="257"/>
      <c r="J109" s="257"/>
      <c r="K109" s="256"/>
      <c r="L109" s="256"/>
      <c r="M109" s="255">
        <v>516</v>
      </c>
      <c r="N109" s="256"/>
      <c r="O109" s="112" t="s">
        <v>203</v>
      </c>
    </row>
    <row r="110" spans="1:15" s="110" customFormat="1" ht="120.75" customHeight="1">
      <c r="A110" s="337">
        <v>15</v>
      </c>
      <c r="B110" s="317" t="s">
        <v>402</v>
      </c>
      <c r="C110" s="342" t="s">
        <v>52</v>
      </c>
      <c r="D110" s="254">
        <v>500</v>
      </c>
      <c r="E110" s="347">
        <f t="shared" si="18"/>
        <v>500</v>
      </c>
      <c r="F110" s="255">
        <v>0</v>
      </c>
      <c r="G110" s="256">
        <f t="shared" si="16"/>
        <v>500</v>
      </c>
      <c r="H110" s="257">
        <f t="shared" si="17"/>
        <v>500</v>
      </c>
      <c r="I110" s="257"/>
      <c r="J110" s="257"/>
      <c r="K110" s="256">
        <v>0</v>
      </c>
      <c r="L110" s="256"/>
      <c r="M110" s="255">
        <v>500</v>
      </c>
      <c r="N110" s="256"/>
      <c r="O110" s="112" t="s">
        <v>203</v>
      </c>
    </row>
    <row r="111" spans="1:15" s="110" customFormat="1" ht="120.75" customHeight="1">
      <c r="A111" s="337">
        <v>16</v>
      </c>
      <c r="B111" s="317" t="s">
        <v>97</v>
      </c>
      <c r="C111" s="342" t="s">
        <v>52</v>
      </c>
      <c r="D111" s="254">
        <v>1300</v>
      </c>
      <c r="E111" s="347">
        <f t="shared" si="18"/>
        <v>1300</v>
      </c>
      <c r="F111" s="255">
        <v>0</v>
      </c>
      <c r="G111" s="256">
        <f t="shared" si="16"/>
        <v>1300</v>
      </c>
      <c r="H111" s="257">
        <f t="shared" si="17"/>
        <v>1300</v>
      </c>
      <c r="I111" s="257"/>
      <c r="J111" s="257"/>
      <c r="K111" s="256">
        <v>0</v>
      </c>
      <c r="L111" s="256"/>
      <c r="M111" s="255">
        <v>1300</v>
      </c>
      <c r="N111" s="256"/>
      <c r="O111" s="112" t="s">
        <v>203</v>
      </c>
    </row>
    <row r="112" spans="1:15" s="113" customFormat="1" ht="28.5" customHeight="1">
      <c r="A112" s="235"/>
      <c r="B112" s="262"/>
      <c r="C112" s="236" t="s">
        <v>187</v>
      </c>
      <c r="D112" s="257">
        <f>SUM(D96:D111)</f>
        <v>21697</v>
      </c>
      <c r="E112" s="257">
        <f aca="true" t="shared" si="19" ref="E112:N112">SUM(E96:E111)</f>
        <v>21697</v>
      </c>
      <c r="F112" s="257">
        <f t="shared" si="19"/>
        <v>1591</v>
      </c>
      <c r="G112" s="257">
        <f t="shared" si="19"/>
        <v>20106</v>
      </c>
      <c r="H112" s="257">
        <f t="shared" si="19"/>
        <v>5569</v>
      </c>
      <c r="I112" s="257">
        <f t="shared" si="19"/>
        <v>0</v>
      </c>
      <c r="J112" s="257">
        <f t="shared" si="19"/>
        <v>0</v>
      </c>
      <c r="K112" s="257">
        <f t="shared" si="19"/>
        <v>0</v>
      </c>
      <c r="L112" s="257">
        <f t="shared" si="19"/>
        <v>0</v>
      </c>
      <c r="M112" s="257">
        <f t="shared" si="19"/>
        <v>5569</v>
      </c>
      <c r="N112" s="257">
        <f t="shared" si="19"/>
        <v>0</v>
      </c>
      <c r="O112" s="238"/>
    </row>
    <row r="113" spans="1:15" s="113" customFormat="1" ht="28.5" customHeight="1">
      <c r="A113" s="235"/>
      <c r="B113" s="262"/>
      <c r="C113" s="236"/>
      <c r="D113" s="14"/>
      <c r="E113" s="14"/>
      <c r="F113" s="14"/>
      <c r="G113" s="14"/>
      <c r="H113" s="14"/>
      <c r="I113" s="14"/>
      <c r="J113" s="14"/>
      <c r="K113" s="14"/>
      <c r="L113" s="14"/>
      <c r="M113" s="14"/>
      <c r="N113" s="14"/>
      <c r="O113" s="238"/>
    </row>
    <row r="114" spans="1:15" s="113" customFormat="1" ht="28.5" customHeight="1">
      <c r="A114" s="235"/>
      <c r="B114" s="262"/>
      <c r="C114" s="236"/>
      <c r="D114" s="14"/>
      <c r="E114" s="14"/>
      <c r="F114" s="14"/>
      <c r="G114" s="14"/>
      <c r="H114" s="14"/>
      <c r="I114" s="14"/>
      <c r="J114" s="14"/>
      <c r="K114" s="14"/>
      <c r="L114" s="14"/>
      <c r="M114" s="14"/>
      <c r="N114" s="14"/>
      <c r="O114" s="238"/>
    </row>
    <row r="115" spans="1:15" s="113" customFormat="1" ht="41.25" customHeight="1">
      <c r="A115" s="235"/>
      <c r="B115" s="262"/>
      <c r="C115" s="236"/>
      <c r="D115" s="14"/>
      <c r="E115" s="14"/>
      <c r="F115" s="14"/>
      <c r="G115" s="14"/>
      <c r="H115" s="14"/>
      <c r="I115" s="14"/>
      <c r="J115" s="14"/>
      <c r="K115" s="14"/>
      <c r="L115" s="14"/>
      <c r="M115" s="14"/>
      <c r="N115" s="14"/>
      <c r="O115" s="238"/>
    </row>
    <row r="116" spans="1:15" ht="33" customHeight="1" thickBot="1">
      <c r="A116" s="114" t="s">
        <v>237</v>
      </c>
      <c r="B116" s="18"/>
      <c r="C116" s="18"/>
      <c r="D116" s="18"/>
      <c r="E116" s="18"/>
      <c r="F116" s="18"/>
      <c r="G116" s="18"/>
      <c r="H116" s="15"/>
      <c r="I116" s="15"/>
      <c r="J116" s="15"/>
      <c r="K116" s="15"/>
      <c r="L116" s="15"/>
      <c r="M116" s="15"/>
      <c r="N116" s="109" t="s">
        <v>185</v>
      </c>
      <c r="O116" s="352"/>
    </row>
    <row r="117" spans="1:15" s="110" customFormat="1" ht="52.5" customHeight="1" thickBot="1">
      <c r="A117" s="293" t="s">
        <v>186</v>
      </c>
      <c r="B117" s="294" t="s">
        <v>188</v>
      </c>
      <c r="C117" s="295" t="s">
        <v>223</v>
      </c>
      <c r="D117" s="294" t="s">
        <v>457</v>
      </c>
      <c r="E117" s="296" t="s">
        <v>220</v>
      </c>
      <c r="F117" s="297" t="s">
        <v>458</v>
      </c>
      <c r="G117" s="297" t="s">
        <v>278</v>
      </c>
      <c r="H117" s="297" t="s">
        <v>459</v>
      </c>
      <c r="I117" s="125" t="s">
        <v>222</v>
      </c>
      <c r="J117" s="126" t="s">
        <v>221</v>
      </c>
      <c r="K117" s="298" t="s">
        <v>254</v>
      </c>
      <c r="L117" s="297" t="s">
        <v>432</v>
      </c>
      <c r="M117" s="297" t="s">
        <v>192</v>
      </c>
      <c r="N117" s="299" t="s">
        <v>204</v>
      </c>
      <c r="O117" s="102"/>
    </row>
    <row r="118" spans="1:15" s="110" customFormat="1" ht="57" customHeight="1">
      <c r="A118" s="127">
        <v>1</v>
      </c>
      <c r="B118" s="186" t="s">
        <v>500</v>
      </c>
      <c r="C118" s="334" t="s">
        <v>524</v>
      </c>
      <c r="D118" s="249">
        <v>100</v>
      </c>
      <c r="E118" s="249">
        <f>D118</f>
        <v>100</v>
      </c>
      <c r="F118" s="249">
        <v>0</v>
      </c>
      <c r="G118" s="250">
        <f>E118-F118</f>
        <v>100</v>
      </c>
      <c r="H118" s="251">
        <f>SUM(I118:M118)</f>
        <v>100</v>
      </c>
      <c r="I118" s="323"/>
      <c r="J118" s="323"/>
      <c r="K118" s="323"/>
      <c r="L118" s="323"/>
      <c r="M118" s="323">
        <v>100</v>
      </c>
      <c r="N118" s="249"/>
      <c r="O118" s="169" t="s">
        <v>203</v>
      </c>
    </row>
    <row r="119" spans="1:15" s="111" customFormat="1" ht="30.75" customHeight="1">
      <c r="A119" s="235"/>
      <c r="B119" s="13"/>
      <c r="C119" s="236" t="s">
        <v>187</v>
      </c>
      <c r="D119" s="237">
        <f aca="true" t="shared" si="20" ref="D119:N119">SUM(D118:D118)</f>
        <v>100</v>
      </c>
      <c r="E119" s="237">
        <f t="shared" si="20"/>
        <v>100</v>
      </c>
      <c r="F119" s="237">
        <f t="shared" si="20"/>
        <v>0</v>
      </c>
      <c r="G119" s="237">
        <f t="shared" si="20"/>
        <v>100</v>
      </c>
      <c r="H119" s="237">
        <f t="shared" si="20"/>
        <v>100</v>
      </c>
      <c r="I119" s="237">
        <f t="shared" si="20"/>
        <v>0</v>
      </c>
      <c r="J119" s="237">
        <f t="shared" si="20"/>
        <v>0</v>
      </c>
      <c r="K119" s="237">
        <f t="shared" si="20"/>
        <v>0</v>
      </c>
      <c r="L119" s="237">
        <f t="shared" si="20"/>
        <v>0</v>
      </c>
      <c r="M119" s="237">
        <f t="shared" si="20"/>
        <v>100</v>
      </c>
      <c r="N119" s="237">
        <f t="shared" si="20"/>
        <v>0</v>
      </c>
      <c r="O119" s="238"/>
    </row>
    <row r="120" spans="1:15" s="111" customFormat="1" ht="56.25" customHeight="1">
      <c r="A120" s="235"/>
      <c r="B120" s="13"/>
      <c r="C120" s="236"/>
      <c r="D120" s="14"/>
      <c r="E120" s="14"/>
      <c r="F120" s="14"/>
      <c r="G120" s="14"/>
      <c r="H120" s="14"/>
      <c r="I120" s="14"/>
      <c r="J120" s="14"/>
      <c r="K120" s="14"/>
      <c r="L120" s="14"/>
      <c r="M120" s="14"/>
      <c r="N120" s="14"/>
      <c r="O120" s="238"/>
    </row>
    <row r="121" spans="1:15" s="115" customFormat="1" ht="26.25" customHeight="1" thickBot="1">
      <c r="A121" s="282" t="s">
        <v>200</v>
      </c>
      <c r="B121" s="106"/>
      <c r="C121" s="263"/>
      <c r="D121" s="101"/>
      <c r="E121" s="101"/>
      <c r="F121" s="13"/>
      <c r="G121" s="264"/>
      <c r="H121" s="101"/>
      <c r="I121" s="101"/>
      <c r="J121" s="101"/>
      <c r="K121" s="13"/>
      <c r="L121" s="265"/>
      <c r="M121" s="13"/>
      <c r="N121" s="109" t="s">
        <v>185</v>
      </c>
      <c r="O121" s="102"/>
    </row>
    <row r="122" spans="1:15" s="110" customFormat="1" ht="60.75" thickBot="1">
      <c r="A122" s="293" t="s">
        <v>186</v>
      </c>
      <c r="B122" s="294" t="s">
        <v>188</v>
      </c>
      <c r="C122" s="295" t="s">
        <v>223</v>
      </c>
      <c r="D122" s="294" t="s">
        <v>457</v>
      </c>
      <c r="E122" s="296" t="s">
        <v>220</v>
      </c>
      <c r="F122" s="297" t="s">
        <v>458</v>
      </c>
      <c r="G122" s="297" t="s">
        <v>278</v>
      </c>
      <c r="H122" s="297" t="s">
        <v>459</v>
      </c>
      <c r="I122" s="125" t="s">
        <v>222</v>
      </c>
      <c r="J122" s="126" t="s">
        <v>221</v>
      </c>
      <c r="K122" s="298" t="s">
        <v>254</v>
      </c>
      <c r="L122" s="297" t="s">
        <v>432</v>
      </c>
      <c r="M122" s="297" t="s">
        <v>192</v>
      </c>
      <c r="N122" s="299" t="s">
        <v>204</v>
      </c>
      <c r="O122" s="102"/>
    </row>
    <row r="123" spans="1:15" s="110" customFormat="1" ht="52.5">
      <c r="A123" s="337">
        <v>1</v>
      </c>
      <c r="B123" s="319" t="s">
        <v>529</v>
      </c>
      <c r="C123" s="306" t="s">
        <v>526</v>
      </c>
      <c r="D123" s="255">
        <v>1</v>
      </c>
      <c r="E123" s="316">
        <f aca="true" t="shared" si="21" ref="E123:E135">D123</f>
        <v>1</v>
      </c>
      <c r="F123" s="316">
        <v>0</v>
      </c>
      <c r="G123" s="255">
        <f aca="true" t="shared" si="22" ref="G123:G131">D123-F123</f>
        <v>1</v>
      </c>
      <c r="H123" s="257">
        <f aca="true" t="shared" si="23" ref="H123:H135">SUM(K123:N123)</f>
        <v>1</v>
      </c>
      <c r="I123" s="237"/>
      <c r="J123" s="237"/>
      <c r="K123" s="316"/>
      <c r="L123" s="316"/>
      <c r="M123" s="316">
        <v>1</v>
      </c>
      <c r="N123" s="255"/>
      <c r="O123" s="112" t="s">
        <v>203</v>
      </c>
    </row>
    <row r="124" spans="1:15" s="110" customFormat="1" ht="53.25" customHeight="1">
      <c r="A124" s="337">
        <v>2</v>
      </c>
      <c r="B124" s="319" t="s">
        <v>530</v>
      </c>
      <c r="C124" s="306" t="s">
        <v>526</v>
      </c>
      <c r="D124" s="255">
        <v>500</v>
      </c>
      <c r="E124" s="316">
        <f t="shared" si="21"/>
        <v>500</v>
      </c>
      <c r="F124" s="316">
        <v>0</v>
      </c>
      <c r="G124" s="255">
        <f>D124-F124</f>
        <v>500</v>
      </c>
      <c r="H124" s="257">
        <f t="shared" si="23"/>
        <v>500</v>
      </c>
      <c r="I124" s="237"/>
      <c r="J124" s="237"/>
      <c r="K124" s="316"/>
      <c r="L124" s="316"/>
      <c r="M124" s="316">
        <v>500</v>
      </c>
      <c r="N124" s="255"/>
      <c r="O124" s="112" t="s">
        <v>203</v>
      </c>
    </row>
    <row r="125" spans="1:15" s="185" customFormat="1" ht="56.25" customHeight="1">
      <c r="A125" s="337">
        <v>3</v>
      </c>
      <c r="B125" s="317" t="s">
        <v>316</v>
      </c>
      <c r="C125" s="306" t="s">
        <v>526</v>
      </c>
      <c r="D125" s="320">
        <v>353</v>
      </c>
      <c r="E125" s="321">
        <f t="shared" si="21"/>
        <v>353</v>
      </c>
      <c r="F125" s="256">
        <v>70</v>
      </c>
      <c r="G125" s="256">
        <f t="shared" si="22"/>
        <v>283</v>
      </c>
      <c r="H125" s="257">
        <f t="shared" si="23"/>
        <v>283</v>
      </c>
      <c r="I125" s="257"/>
      <c r="J125" s="257"/>
      <c r="K125" s="256"/>
      <c r="L125" s="256"/>
      <c r="M125" s="255">
        <v>283</v>
      </c>
      <c r="N125" s="256"/>
      <c r="O125" s="112" t="s">
        <v>203</v>
      </c>
    </row>
    <row r="126" spans="1:15" s="185" customFormat="1" ht="52.5" customHeight="1">
      <c r="A126" s="337">
        <v>4</v>
      </c>
      <c r="B126" s="317" t="s">
        <v>531</v>
      </c>
      <c r="C126" s="306" t="s">
        <v>526</v>
      </c>
      <c r="D126" s="320">
        <v>80</v>
      </c>
      <c r="E126" s="321">
        <f t="shared" si="21"/>
        <v>80</v>
      </c>
      <c r="F126" s="256">
        <v>0</v>
      </c>
      <c r="G126" s="256">
        <f>D126-F126</f>
        <v>80</v>
      </c>
      <c r="H126" s="257">
        <f t="shared" si="23"/>
        <v>80</v>
      </c>
      <c r="I126" s="257"/>
      <c r="J126" s="257"/>
      <c r="K126" s="256"/>
      <c r="L126" s="256"/>
      <c r="M126" s="255">
        <v>80</v>
      </c>
      <c r="N126" s="256"/>
      <c r="O126" s="112" t="s">
        <v>203</v>
      </c>
    </row>
    <row r="127" spans="1:15" s="185" customFormat="1" ht="49.5" customHeight="1">
      <c r="A127" s="337">
        <v>5</v>
      </c>
      <c r="B127" s="348" t="s">
        <v>365</v>
      </c>
      <c r="C127" s="306" t="s">
        <v>526</v>
      </c>
      <c r="D127" s="320">
        <v>102</v>
      </c>
      <c r="E127" s="321">
        <f t="shared" si="21"/>
        <v>102</v>
      </c>
      <c r="F127" s="322">
        <v>18</v>
      </c>
      <c r="G127" s="256">
        <f t="shared" si="22"/>
        <v>84</v>
      </c>
      <c r="H127" s="257">
        <f t="shared" si="23"/>
        <v>84</v>
      </c>
      <c r="I127" s="237"/>
      <c r="J127" s="237"/>
      <c r="K127" s="322"/>
      <c r="L127" s="322"/>
      <c r="M127" s="316">
        <v>84</v>
      </c>
      <c r="N127" s="322"/>
      <c r="O127" s="112" t="s">
        <v>203</v>
      </c>
    </row>
    <row r="128" spans="1:15" s="185" customFormat="1" ht="49.5" customHeight="1">
      <c r="A128" s="337">
        <v>6</v>
      </c>
      <c r="B128" s="348" t="s">
        <v>366</v>
      </c>
      <c r="C128" s="306" t="s">
        <v>526</v>
      </c>
      <c r="D128" s="320">
        <v>261</v>
      </c>
      <c r="E128" s="321">
        <f t="shared" si="21"/>
        <v>261</v>
      </c>
      <c r="F128" s="322">
        <v>49</v>
      </c>
      <c r="G128" s="256">
        <f t="shared" si="22"/>
        <v>212</v>
      </c>
      <c r="H128" s="257">
        <f t="shared" si="23"/>
        <v>212</v>
      </c>
      <c r="I128" s="237"/>
      <c r="J128" s="237"/>
      <c r="K128" s="322"/>
      <c r="L128" s="322"/>
      <c r="M128" s="316">
        <v>212</v>
      </c>
      <c r="N128" s="322"/>
      <c r="O128" s="112" t="s">
        <v>203</v>
      </c>
    </row>
    <row r="129" spans="1:15" s="185" customFormat="1" ht="46.5" customHeight="1">
      <c r="A129" s="337">
        <v>7</v>
      </c>
      <c r="B129" s="348" t="s">
        <v>367</v>
      </c>
      <c r="C129" s="306" t="s">
        <v>526</v>
      </c>
      <c r="D129" s="320">
        <v>84</v>
      </c>
      <c r="E129" s="321">
        <f t="shared" si="21"/>
        <v>84</v>
      </c>
      <c r="F129" s="322">
        <v>16</v>
      </c>
      <c r="G129" s="256">
        <f t="shared" si="22"/>
        <v>68</v>
      </c>
      <c r="H129" s="257">
        <f t="shared" si="23"/>
        <v>68</v>
      </c>
      <c r="I129" s="237"/>
      <c r="J129" s="237"/>
      <c r="K129" s="322"/>
      <c r="L129" s="322"/>
      <c r="M129" s="316">
        <v>68</v>
      </c>
      <c r="N129" s="322"/>
      <c r="O129" s="112" t="s">
        <v>203</v>
      </c>
    </row>
    <row r="130" spans="1:15" s="185" customFormat="1" ht="47.25" customHeight="1">
      <c r="A130" s="337">
        <v>8</v>
      </c>
      <c r="B130" s="348" t="s">
        <v>532</v>
      </c>
      <c r="C130" s="306" t="s">
        <v>526</v>
      </c>
      <c r="D130" s="320">
        <v>58</v>
      </c>
      <c r="E130" s="321">
        <f t="shared" si="21"/>
        <v>58</v>
      </c>
      <c r="F130" s="322">
        <v>0</v>
      </c>
      <c r="G130" s="256">
        <f>D130-F130</f>
        <v>58</v>
      </c>
      <c r="H130" s="257">
        <f t="shared" si="23"/>
        <v>1</v>
      </c>
      <c r="I130" s="237"/>
      <c r="J130" s="237"/>
      <c r="K130" s="322"/>
      <c r="L130" s="322"/>
      <c r="M130" s="316">
        <v>1</v>
      </c>
      <c r="N130" s="322"/>
      <c r="O130" s="112" t="s">
        <v>203</v>
      </c>
    </row>
    <row r="131" spans="1:15" s="185" customFormat="1" ht="48.75" customHeight="1">
      <c r="A131" s="337">
        <v>9</v>
      </c>
      <c r="B131" s="350" t="s">
        <v>281</v>
      </c>
      <c r="C131" s="306" t="s">
        <v>526</v>
      </c>
      <c r="D131" s="320">
        <v>119</v>
      </c>
      <c r="E131" s="321">
        <f t="shared" si="21"/>
        <v>119</v>
      </c>
      <c r="F131" s="255">
        <v>23</v>
      </c>
      <c r="G131" s="256">
        <f t="shared" si="22"/>
        <v>96</v>
      </c>
      <c r="H131" s="257">
        <f t="shared" si="23"/>
        <v>96</v>
      </c>
      <c r="I131" s="257"/>
      <c r="J131" s="257"/>
      <c r="K131" s="351"/>
      <c r="L131" s="255">
        <v>0</v>
      </c>
      <c r="M131" s="255">
        <v>96</v>
      </c>
      <c r="N131" s="351"/>
      <c r="O131" s="112" t="s">
        <v>203</v>
      </c>
    </row>
    <row r="132" spans="1:15" s="185" customFormat="1" ht="46.5" customHeight="1">
      <c r="A132" s="337">
        <v>10</v>
      </c>
      <c r="B132" s="319" t="s">
        <v>317</v>
      </c>
      <c r="C132" s="306" t="s">
        <v>526</v>
      </c>
      <c r="D132" s="320">
        <v>131</v>
      </c>
      <c r="E132" s="321">
        <f t="shared" si="21"/>
        <v>131</v>
      </c>
      <c r="F132" s="322">
        <v>26</v>
      </c>
      <c r="G132" s="256">
        <f aca="true" t="shared" si="24" ref="G132:G159">D132-F132</f>
        <v>105</v>
      </c>
      <c r="H132" s="257">
        <f t="shared" si="23"/>
        <v>105</v>
      </c>
      <c r="I132" s="237"/>
      <c r="J132" s="237"/>
      <c r="K132" s="322"/>
      <c r="L132" s="322"/>
      <c r="M132" s="316">
        <v>105</v>
      </c>
      <c r="N132" s="256"/>
      <c r="O132" s="112" t="s">
        <v>203</v>
      </c>
    </row>
    <row r="133" spans="1:15" s="185" customFormat="1" ht="48.75" customHeight="1">
      <c r="A133" s="337">
        <v>11</v>
      </c>
      <c r="B133" s="319" t="s">
        <v>318</v>
      </c>
      <c r="C133" s="306" t="s">
        <v>526</v>
      </c>
      <c r="D133" s="320">
        <v>84</v>
      </c>
      <c r="E133" s="321">
        <f t="shared" si="21"/>
        <v>84</v>
      </c>
      <c r="F133" s="322">
        <v>16</v>
      </c>
      <c r="G133" s="256">
        <f t="shared" si="24"/>
        <v>68</v>
      </c>
      <c r="H133" s="257">
        <f t="shared" si="23"/>
        <v>68</v>
      </c>
      <c r="I133" s="237"/>
      <c r="J133" s="237"/>
      <c r="K133" s="322"/>
      <c r="L133" s="322"/>
      <c r="M133" s="316">
        <v>68</v>
      </c>
      <c r="N133" s="256"/>
      <c r="O133" s="112" t="s">
        <v>203</v>
      </c>
    </row>
    <row r="134" spans="1:15" s="185" customFormat="1" ht="48.75" customHeight="1">
      <c r="A134" s="337">
        <v>12</v>
      </c>
      <c r="B134" s="319" t="s">
        <v>319</v>
      </c>
      <c r="C134" s="306" t="s">
        <v>526</v>
      </c>
      <c r="D134" s="320">
        <v>238</v>
      </c>
      <c r="E134" s="321">
        <f t="shared" si="21"/>
        <v>238</v>
      </c>
      <c r="F134" s="322">
        <v>47</v>
      </c>
      <c r="G134" s="256">
        <f t="shared" si="24"/>
        <v>191</v>
      </c>
      <c r="H134" s="257">
        <f t="shared" si="23"/>
        <v>191</v>
      </c>
      <c r="I134" s="237"/>
      <c r="J134" s="237"/>
      <c r="K134" s="322"/>
      <c r="L134" s="322"/>
      <c r="M134" s="316">
        <v>191</v>
      </c>
      <c r="N134" s="256"/>
      <c r="O134" s="112" t="s">
        <v>203</v>
      </c>
    </row>
    <row r="135" spans="1:15" s="185" customFormat="1" ht="48.75" customHeight="1">
      <c r="A135" s="337">
        <v>13</v>
      </c>
      <c r="B135" s="319" t="s">
        <v>320</v>
      </c>
      <c r="C135" s="306" t="s">
        <v>526</v>
      </c>
      <c r="D135" s="320">
        <v>714</v>
      </c>
      <c r="E135" s="321">
        <f t="shared" si="21"/>
        <v>714</v>
      </c>
      <c r="F135" s="322">
        <v>142</v>
      </c>
      <c r="G135" s="256">
        <f t="shared" si="24"/>
        <v>572</v>
      </c>
      <c r="H135" s="257">
        <f t="shared" si="23"/>
        <v>572</v>
      </c>
      <c r="I135" s="237"/>
      <c r="J135" s="237"/>
      <c r="K135" s="322"/>
      <c r="L135" s="322"/>
      <c r="M135" s="316">
        <v>572</v>
      </c>
      <c r="N135" s="256"/>
      <c r="O135" s="112" t="s">
        <v>203</v>
      </c>
    </row>
    <row r="136" spans="1:15" s="185" customFormat="1" ht="46.5" customHeight="1">
      <c r="A136" s="337">
        <v>14</v>
      </c>
      <c r="B136" s="319" t="s">
        <v>533</v>
      </c>
      <c r="C136" s="306" t="s">
        <v>526</v>
      </c>
      <c r="D136" s="320">
        <v>612</v>
      </c>
      <c r="E136" s="321">
        <f aca="true" t="shared" si="25" ref="E136:E141">D136</f>
        <v>612</v>
      </c>
      <c r="F136" s="322">
        <v>0</v>
      </c>
      <c r="G136" s="256">
        <f t="shared" si="24"/>
        <v>612</v>
      </c>
      <c r="H136" s="257">
        <f aca="true" t="shared" si="26" ref="H136:H141">SUM(K136:N136)</f>
        <v>62</v>
      </c>
      <c r="I136" s="237"/>
      <c r="J136" s="237"/>
      <c r="K136" s="322"/>
      <c r="L136" s="322"/>
      <c r="M136" s="316">
        <v>62</v>
      </c>
      <c r="N136" s="256"/>
      <c r="O136" s="112" t="s">
        <v>203</v>
      </c>
    </row>
    <row r="137" spans="1:15" s="185" customFormat="1" ht="45" customHeight="1">
      <c r="A137" s="337">
        <v>15</v>
      </c>
      <c r="B137" s="319" t="s">
        <v>534</v>
      </c>
      <c r="C137" s="306" t="s">
        <v>526</v>
      </c>
      <c r="D137" s="320">
        <v>347</v>
      </c>
      <c r="E137" s="321">
        <f t="shared" si="25"/>
        <v>347</v>
      </c>
      <c r="F137" s="322">
        <v>0</v>
      </c>
      <c r="G137" s="256">
        <f t="shared" si="24"/>
        <v>347</v>
      </c>
      <c r="H137" s="257">
        <f t="shared" si="26"/>
        <v>35</v>
      </c>
      <c r="I137" s="237"/>
      <c r="J137" s="237"/>
      <c r="K137" s="322"/>
      <c r="L137" s="322"/>
      <c r="M137" s="316">
        <v>35</v>
      </c>
      <c r="N137" s="256"/>
      <c r="O137" s="112" t="s">
        <v>203</v>
      </c>
    </row>
    <row r="138" spans="1:15" s="185" customFormat="1" ht="44.25" customHeight="1">
      <c r="A138" s="337">
        <v>16</v>
      </c>
      <c r="B138" s="319" t="s">
        <v>535</v>
      </c>
      <c r="C138" s="306" t="s">
        <v>526</v>
      </c>
      <c r="D138" s="320">
        <v>650</v>
      </c>
      <c r="E138" s="321">
        <f t="shared" si="25"/>
        <v>650</v>
      </c>
      <c r="F138" s="322">
        <v>0</v>
      </c>
      <c r="G138" s="256">
        <f t="shared" si="24"/>
        <v>650</v>
      </c>
      <c r="H138" s="257">
        <f t="shared" si="26"/>
        <v>65</v>
      </c>
      <c r="I138" s="237"/>
      <c r="J138" s="237"/>
      <c r="K138" s="322"/>
      <c r="L138" s="322"/>
      <c r="M138" s="316">
        <v>65</v>
      </c>
      <c r="N138" s="256"/>
      <c r="O138" s="112" t="s">
        <v>203</v>
      </c>
    </row>
    <row r="139" spans="1:15" s="185" customFormat="1" ht="51.75" customHeight="1">
      <c r="A139" s="337">
        <v>17</v>
      </c>
      <c r="B139" s="319" t="s">
        <v>536</v>
      </c>
      <c r="C139" s="306" t="s">
        <v>526</v>
      </c>
      <c r="D139" s="320">
        <v>750</v>
      </c>
      <c r="E139" s="321">
        <f t="shared" si="25"/>
        <v>750</v>
      </c>
      <c r="F139" s="322">
        <v>0</v>
      </c>
      <c r="G139" s="256">
        <f t="shared" si="24"/>
        <v>750</v>
      </c>
      <c r="H139" s="257">
        <f t="shared" si="26"/>
        <v>75</v>
      </c>
      <c r="I139" s="237"/>
      <c r="J139" s="237"/>
      <c r="K139" s="322"/>
      <c r="L139" s="322"/>
      <c r="M139" s="316">
        <v>75</v>
      </c>
      <c r="N139" s="256"/>
      <c r="O139" s="112" t="s">
        <v>203</v>
      </c>
    </row>
    <row r="140" spans="1:15" s="185" customFormat="1" ht="52.5" customHeight="1">
      <c r="A140" s="337">
        <v>18</v>
      </c>
      <c r="B140" s="319" t="s">
        <v>537</v>
      </c>
      <c r="C140" s="306" t="s">
        <v>526</v>
      </c>
      <c r="D140" s="320">
        <v>1300</v>
      </c>
      <c r="E140" s="321">
        <f t="shared" si="25"/>
        <v>1300</v>
      </c>
      <c r="F140" s="322">
        <v>0</v>
      </c>
      <c r="G140" s="256">
        <f t="shared" si="24"/>
        <v>1300</v>
      </c>
      <c r="H140" s="257">
        <f t="shared" si="26"/>
        <v>130</v>
      </c>
      <c r="I140" s="237"/>
      <c r="J140" s="237"/>
      <c r="K140" s="322"/>
      <c r="L140" s="322"/>
      <c r="M140" s="316">
        <v>130</v>
      </c>
      <c r="N140" s="256"/>
      <c r="O140" s="112" t="s">
        <v>203</v>
      </c>
    </row>
    <row r="141" spans="1:15" s="185" customFormat="1" ht="51.75" customHeight="1">
      <c r="A141" s="337">
        <v>19</v>
      </c>
      <c r="B141" s="319" t="s">
        <v>538</v>
      </c>
      <c r="C141" s="306" t="s">
        <v>526</v>
      </c>
      <c r="D141" s="320">
        <v>960</v>
      </c>
      <c r="E141" s="321">
        <f t="shared" si="25"/>
        <v>960</v>
      </c>
      <c r="F141" s="322">
        <v>0</v>
      </c>
      <c r="G141" s="256">
        <f t="shared" si="24"/>
        <v>960</v>
      </c>
      <c r="H141" s="257">
        <f t="shared" si="26"/>
        <v>10</v>
      </c>
      <c r="I141" s="237"/>
      <c r="J141" s="237"/>
      <c r="K141" s="322"/>
      <c r="L141" s="322"/>
      <c r="M141" s="316">
        <v>10</v>
      </c>
      <c r="N141" s="256"/>
      <c r="O141" s="112" t="s">
        <v>203</v>
      </c>
    </row>
    <row r="142" spans="1:15" s="185" customFormat="1" ht="54.75" customHeight="1">
      <c r="A142" s="337">
        <v>20</v>
      </c>
      <c r="B142" s="319" t="s">
        <v>368</v>
      </c>
      <c r="C142" s="306" t="s">
        <v>526</v>
      </c>
      <c r="D142" s="320">
        <v>10</v>
      </c>
      <c r="E142" s="321">
        <f aca="true" t="shared" si="27" ref="E142:E147">D142</f>
        <v>10</v>
      </c>
      <c r="F142" s="322">
        <v>0</v>
      </c>
      <c r="G142" s="256">
        <f t="shared" si="24"/>
        <v>10</v>
      </c>
      <c r="H142" s="257">
        <f aca="true" t="shared" si="28" ref="H142:H147">SUM(K142:N142)</f>
        <v>10</v>
      </c>
      <c r="I142" s="237"/>
      <c r="J142" s="237"/>
      <c r="K142" s="322"/>
      <c r="L142" s="322"/>
      <c r="M142" s="316">
        <v>10</v>
      </c>
      <c r="N142" s="256"/>
      <c r="O142" s="112" t="s">
        <v>203</v>
      </c>
    </row>
    <row r="143" spans="1:15" s="185" customFormat="1" ht="54.75" customHeight="1">
      <c r="A143" s="337">
        <v>21</v>
      </c>
      <c r="B143" s="319" t="s">
        <v>539</v>
      </c>
      <c r="C143" s="306" t="s">
        <v>526</v>
      </c>
      <c r="D143" s="320">
        <v>100</v>
      </c>
      <c r="E143" s="321">
        <f t="shared" si="27"/>
        <v>100</v>
      </c>
      <c r="F143" s="322">
        <v>0</v>
      </c>
      <c r="G143" s="256">
        <f t="shared" si="24"/>
        <v>100</v>
      </c>
      <c r="H143" s="257">
        <f t="shared" si="28"/>
        <v>100</v>
      </c>
      <c r="I143" s="237"/>
      <c r="J143" s="237"/>
      <c r="K143" s="322"/>
      <c r="L143" s="322"/>
      <c r="M143" s="316">
        <v>100</v>
      </c>
      <c r="N143" s="256"/>
      <c r="O143" s="112" t="s">
        <v>203</v>
      </c>
    </row>
    <row r="144" spans="1:15" s="185" customFormat="1" ht="52.5">
      <c r="A144" s="337">
        <v>22</v>
      </c>
      <c r="B144" s="319" t="s">
        <v>540</v>
      </c>
      <c r="C144" s="306" t="s">
        <v>526</v>
      </c>
      <c r="D144" s="320">
        <v>619</v>
      </c>
      <c r="E144" s="321">
        <f t="shared" si="27"/>
        <v>619</v>
      </c>
      <c r="F144" s="322">
        <v>0</v>
      </c>
      <c r="G144" s="256">
        <f t="shared" si="24"/>
        <v>619</v>
      </c>
      <c r="H144" s="257">
        <f t="shared" si="28"/>
        <v>619</v>
      </c>
      <c r="I144" s="237"/>
      <c r="J144" s="237"/>
      <c r="K144" s="322"/>
      <c r="L144" s="322"/>
      <c r="M144" s="316">
        <v>619</v>
      </c>
      <c r="N144" s="256"/>
      <c r="O144" s="112" t="s">
        <v>203</v>
      </c>
    </row>
    <row r="145" spans="1:15" s="185" customFormat="1" ht="54.75" customHeight="1">
      <c r="A145" s="337">
        <v>23</v>
      </c>
      <c r="B145" s="319" t="s">
        <v>541</v>
      </c>
      <c r="C145" s="306" t="s">
        <v>526</v>
      </c>
      <c r="D145" s="320">
        <v>510</v>
      </c>
      <c r="E145" s="321">
        <f t="shared" si="27"/>
        <v>510</v>
      </c>
      <c r="F145" s="322">
        <v>0</v>
      </c>
      <c r="G145" s="256">
        <f t="shared" si="24"/>
        <v>510</v>
      </c>
      <c r="H145" s="257">
        <f t="shared" si="28"/>
        <v>510</v>
      </c>
      <c r="I145" s="237"/>
      <c r="J145" s="237"/>
      <c r="K145" s="322"/>
      <c r="L145" s="322"/>
      <c r="M145" s="316">
        <v>510</v>
      </c>
      <c r="N145" s="256"/>
      <c r="O145" s="112" t="s">
        <v>203</v>
      </c>
    </row>
    <row r="146" spans="1:15" s="185" customFormat="1" ht="54.75" customHeight="1">
      <c r="A146" s="337">
        <v>24</v>
      </c>
      <c r="B146" s="319" t="s">
        <v>542</v>
      </c>
      <c r="C146" s="306" t="s">
        <v>526</v>
      </c>
      <c r="D146" s="320">
        <v>644</v>
      </c>
      <c r="E146" s="321">
        <f t="shared" si="27"/>
        <v>644</v>
      </c>
      <c r="F146" s="322">
        <v>0</v>
      </c>
      <c r="G146" s="256">
        <f t="shared" si="24"/>
        <v>644</v>
      </c>
      <c r="H146" s="257">
        <f t="shared" si="28"/>
        <v>644</v>
      </c>
      <c r="I146" s="237"/>
      <c r="J146" s="237"/>
      <c r="K146" s="322"/>
      <c r="L146" s="322"/>
      <c r="M146" s="316">
        <v>644</v>
      </c>
      <c r="N146" s="256"/>
      <c r="O146" s="112" t="s">
        <v>203</v>
      </c>
    </row>
    <row r="147" spans="1:15" s="185" customFormat="1" ht="54.75" customHeight="1">
      <c r="A147" s="337">
        <v>25</v>
      </c>
      <c r="B147" s="319" t="s">
        <v>50</v>
      </c>
      <c r="C147" s="306" t="s">
        <v>526</v>
      </c>
      <c r="D147" s="320">
        <v>1</v>
      </c>
      <c r="E147" s="321">
        <f t="shared" si="27"/>
        <v>1</v>
      </c>
      <c r="F147" s="322">
        <v>0</v>
      </c>
      <c r="G147" s="256">
        <f t="shared" si="24"/>
        <v>1</v>
      </c>
      <c r="H147" s="257">
        <f t="shared" si="28"/>
        <v>1</v>
      </c>
      <c r="I147" s="237"/>
      <c r="J147" s="237"/>
      <c r="K147" s="322"/>
      <c r="L147" s="322"/>
      <c r="M147" s="316">
        <v>1</v>
      </c>
      <c r="N147" s="256"/>
      <c r="O147" s="112" t="s">
        <v>203</v>
      </c>
    </row>
    <row r="148" spans="1:15" s="185" customFormat="1" ht="54.75" customHeight="1">
      <c r="A148" s="337">
        <v>26</v>
      </c>
      <c r="B148" s="319" t="s">
        <v>414</v>
      </c>
      <c r="C148" s="306" t="s">
        <v>10</v>
      </c>
      <c r="D148" s="320">
        <v>54</v>
      </c>
      <c r="E148" s="321">
        <v>54</v>
      </c>
      <c r="F148" s="322">
        <v>0</v>
      </c>
      <c r="G148" s="256">
        <v>54</v>
      </c>
      <c r="H148" s="257">
        <v>54</v>
      </c>
      <c r="I148" s="237"/>
      <c r="J148" s="237"/>
      <c r="K148" s="322">
        <v>0</v>
      </c>
      <c r="L148" s="322"/>
      <c r="M148" s="316">
        <v>54</v>
      </c>
      <c r="N148" s="256"/>
      <c r="O148" s="112" t="s">
        <v>203</v>
      </c>
    </row>
    <row r="149" spans="1:15" s="185" customFormat="1" ht="72.75" customHeight="1">
      <c r="A149" s="337">
        <v>27</v>
      </c>
      <c r="B149" s="319" t="s">
        <v>371</v>
      </c>
      <c r="C149" s="306" t="s">
        <v>10</v>
      </c>
      <c r="D149" s="320">
        <v>130</v>
      </c>
      <c r="E149" s="321">
        <f>D149</f>
        <v>130</v>
      </c>
      <c r="F149" s="322">
        <v>0</v>
      </c>
      <c r="G149" s="256">
        <f t="shared" si="24"/>
        <v>130</v>
      </c>
      <c r="H149" s="257">
        <f>SUM(K149:N149)</f>
        <v>130</v>
      </c>
      <c r="I149" s="237"/>
      <c r="J149" s="237"/>
      <c r="K149" s="322"/>
      <c r="L149" s="322"/>
      <c r="M149" s="316">
        <v>130</v>
      </c>
      <c r="N149" s="256"/>
      <c r="O149" s="112" t="s">
        <v>203</v>
      </c>
    </row>
    <row r="150" spans="1:15" s="185" customFormat="1" ht="57" customHeight="1">
      <c r="A150" s="337">
        <v>28</v>
      </c>
      <c r="B150" s="319" t="s">
        <v>415</v>
      </c>
      <c r="C150" s="306" t="s">
        <v>10</v>
      </c>
      <c r="D150" s="320">
        <v>62</v>
      </c>
      <c r="E150" s="321">
        <v>62</v>
      </c>
      <c r="F150" s="322">
        <v>0</v>
      </c>
      <c r="G150" s="256">
        <v>62</v>
      </c>
      <c r="H150" s="257">
        <v>62</v>
      </c>
      <c r="I150" s="237"/>
      <c r="J150" s="237"/>
      <c r="K150" s="322">
        <v>0</v>
      </c>
      <c r="L150" s="322"/>
      <c r="M150" s="316">
        <v>62</v>
      </c>
      <c r="N150" s="256"/>
      <c r="O150" s="112" t="s">
        <v>203</v>
      </c>
    </row>
    <row r="151" spans="1:15" s="185" customFormat="1" ht="81">
      <c r="A151" s="337">
        <v>29</v>
      </c>
      <c r="B151" s="319" t="s">
        <v>446</v>
      </c>
      <c r="C151" s="306" t="s">
        <v>10</v>
      </c>
      <c r="D151" s="320">
        <v>78</v>
      </c>
      <c r="E151" s="321">
        <v>78</v>
      </c>
      <c r="F151" s="322">
        <v>0</v>
      </c>
      <c r="G151" s="256">
        <v>78</v>
      </c>
      <c r="H151" s="257">
        <v>78</v>
      </c>
      <c r="I151" s="237"/>
      <c r="J151" s="237"/>
      <c r="K151" s="322">
        <v>0</v>
      </c>
      <c r="L151" s="322"/>
      <c r="M151" s="316">
        <v>78</v>
      </c>
      <c r="N151" s="256"/>
      <c r="O151" s="112" t="s">
        <v>203</v>
      </c>
    </row>
    <row r="152" spans="1:15" s="185" customFormat="1" ht="57.75" customHeight="1">
      <c r="A152" s="337">
        <v>30</v>
      </c>
      <c r="B152" s="319" t="s">
        <v>29</v>
      </c>
      <c r="C152" s="306" t="s">
        <v>10</v>
      </c>
      <c r="D152" s="320">
        <v>612</v>
      </c>
      <c r="E152" s="321">
        <v>612</v>
      </c>
      <c r="F152" s="322">
        <v>0</v>
      </c>
      <c r="G152" s="256">
        <v>612</v>
      </c>
      <c r="H152" s="257">
        <v>612</v>
      </c>
      <c r="I152" s="237"/>
      <c r="J152" s="237"/>
      <c r="K152" s="322">
        <v>0</v>
      </c>
      <c r="L152" s="322"/>
      <c r="M152" s="316">
        <v>612</v>
      </c>
      <c r="N152" s="256"/>
      <c r="O152" s="112" t="s">
        <v>203</v>
      </c>
    </row>
    <row r="153" spans="1:15" s="185" customFormat="1" ht="61.5" customHeight="1">
      <c r="A153" s="337">
        <v>31</v>
      </c>
      <c r="B153" s="319" t="s">
        <v>30</v>
      </c>
      <c r="C153" s="306" t="s">
        <v>10</v>
      </c>
      <c r="D153" s="320">
        <v>585</v>
      </c>
      <c r="E153" s="321">
        <v>585</v>
      </c>
      <c r="F153" s="322">
        <v>0</v>
      </c>
      <c r="G153" s="256">
        <v>585</v>
      </c>
      <c r="H153" s="257">
        <v>585</v>
      </c>
      <c r="I153" s="237"/>
      <c r="J153" s="237"/>
      <c r="K153" s="322">
        <v>0</v>
      </c>
      <c r="L153" s="322"/>
      <c r="M153" s="316">
        <v>585</v>
      </c>
      <c r="N153" s="256"/>
      <c r="O153" s="112" t="s">
        <v>203</v>
      </c>
    </row>
    <row r="154" spans="1:15" s="185" customFormat="1" ht="56.25" customHeight="1">
      <c r="A154" s="337">
        <v>32</v>
      </c>
      <c r="B154" s="319" t="s">
        <v>11</v>
      </c>
      <c r="C154" s="306" t="s">
        <v>10</v>
      </c>
      <c r="D154" s="320">
        <v>16000</v>
      </c>
      <c r="E154" s="321">
        <f aca="true" t="shared" si="29" ref="E154:E165">D154</f>
        <v>16000</v>
      </c>
      <c r="F154" s="322">
        <v>0</v>
      </c>
      <c r="G154" s="256">
        <f>D154-F154</f>
        <v>16000</v>
      </c>
      <c r="H154" s="257">
        <f aca="true" t="shared" si="30" ref="H154:H165">SUM(K154:N154)</f>
        <v>300</v>
      </c>
      <c r="I154" s="237"/>
      <c r="J154" s="237"/>
      <c r="K154" s="322"/>
      <c r="L154" s="322"/>
      <c r="M154" s="316">
        <v>300</v>
      </c>
      <c r="N154" s="256"/>
      <c r="O154" s="112" t="s">
        <v>203</v>
      </c>
    </row>
    <row r="155" spans="1:15" s="185" customFormat="1" ht="57" customHeight="1">
      <c r="A155" s="337">
        <v>33</v>
      </c>
      <c r="B155" s="319" t="s">
        <v>46</v>
      </c>
      <c r="C155" s="306" t="s">
        <v>10</v>
      </c>
      <c r="D155" s="320">
        <v>300</v>
      </c>
      <c r="E155" s="321">
        <f t="shared" si="29"/>
        <v>300</v>
      </c>
      <c r="F155" s="322">
        <v>0</v>
      </c>
      <c r="G155" s="256">
        <f>D155-F155</f>
        <v>300</v>
      </c>
      <c r="H155" s="257">
        <f t="shared" si="30"/>
        <v>300</v>
      </c>
      <c r="I155" s="237"/>
      <c r="J155" s="237"/>
      <c r="K155" s="322"/>
      <c r="L155" s="322"/>
      <c r="M155" s="316">
        <v>300</v>
      </c>
      <c r="N155" s="256"/>
      <c r="O155" s="112" t="s">
        <v>203</v>
      </c>
    </row>
    <row r="156" spans="1:15" s="185" customFormat="1" ht="54" customHeight="1">
      <c r="A156" s="337">
        <v>34</v>
      </c>
      <c r="B156" s="319" t="s">
        <v>49</v>
      </c>
      <c r="C156" s="306" t="s">
        <v>10</v>
      </c>
      <c r="D156" s="320">
        <v>160</v>
      </c>
      <c r="E156" s="321">
        <f t="shared" si="29"/>
        <v>160</v>
      </c>
      <c r="F156" s="322">
        <v>0</v>
      </c>
      <c r="G156" s="256">
        <f t="shared" si="24"/>
        <v>160</v>
      </c>
      <c r="H156" s="257">
        <f t="shared" si="30"/>
        <v>160</v>
      </c>
      <c r="I156" s="237"/>
      <c r="J156" s="237"/>
      <c r="K156" s="322"/>
      <c r="L156" s="322"/>
      <c r="M156" s="316">
        <v>160</v>
      </c>
      <c r="N156" s="256"/>
      <c r="O156" s="112" t="s">
        <v>203</v>
      </c>
    </row>
    <row r="157" spans="1:15" s="185" customFormat="1" ht="61.5" customHeight="1">
      <c r="A157" s="337">
        <v>35</v>
      </c>
      <c r="B157" s="319" t="s">
        <v>389</v>
      </c>
      <c r="C157" s="306" t="s">
        <v>10</v>
      </c>
      <c r="D157" s="320">
        <v>158</v>
      </c>
      <c r="E157" s="321">
        <f t="shared" si="29"/>
        <v>158</v>
      </c>
      <c r="F157" s="322">
        <v>0</v>
      </c>
      <c r="G157" s="256">
        <f t="shared" si="24"/>
        <v>158</v>
      </c>
      <c r="H157" s="257">
        <f t="shared" si="30"/>
        <v>158</v>
      </c>
      <c r="I157" s="237"/>
      <c r="J157" s="237"/>
      <c r="K157" s="322"/>
      <c r="L157" s="322">
        <v>0</v>
      </c>
      <c r="M157" s="316">
        <v>158</v>
      </c>
      <c r="N157" s="256"/>
      <c r="O157" s="112" t="s">
        <v>203</v>
      </c>
    </row>
    <row r="158" spans="1:15" s="185" customFormat="1" ht="57" customHeight="1">
      <c r="A158" s="337">
        <v>36</v>
      </c>
      <c r="B158" s="319" t="s">
        <v>441</v>
      </c>
      <c r="C158" s="306" t="s">
        <v>10</v>
      </c>
      <c r="D158" s="320">
        <v>140</v>
      </c>
      <c r="E158" s="321">
        <f t="shared" si="29"/>
        <v>140</v>
      </c>
      <c r="F158" s="322">
        <v>0</v>
      </c>
      <c r="G158" s="256">
        <f>D158-F158</f>
        <v>140</v>
      </c>
      <c r="H158" s="257">
        <f t="shared" si="30"/>
        <v>140</v>
      </c>
      <c r="I158" s="237"/>
      <c r="J158" s="237"/>
      <c r="K158" s="322"/>
      <c r="L158" s="322">
        <v>0</v>
      </c>
      <c r="M158" s="316">
        <v>140</v>
      </c>
      <c r="N158" s="256"/>
      <c r="O158" s="112" t="s">
        <v>203</v>
      </c>
    </row>
    <row r="159" spans="1:15" s="185" customFormat="1" ht="74.25" customHeight="1">
      <c r="A159" s="337">
        <v>37</v>
      </c>
      <c r="B159" s="319" t="s">
        <v>346</v>
      </c>
      <c r="C159" s="306" t="s">
        <v>10</v>
      </c>
      <c r="D159" s="320">
        <v>11217</v>
      </c>
      <c r="E159" s="321">
        <f t="shared" si="29"/>
        <v>11217</v>
      </c>
      <c r="F159" s="322">
        <v>108</v>
      </c>
      <c r="G159" s="256">
        <f t="shared" si="24"/>
        <v>11109</v>
      </c>
      <c r="H159" s="257">
        <f t="shared" si="30"/>
        <v>3000</v>
      </c>
      <c r="I159" s="237"/>
      <c r="J159" s="237"/>
      <c r="K159" s="322"/>
      <c r="L159" s="322"/>
      <c r="M159" s="316">
        <v>3000</v>
      </c>
      <c r="N159" s="256"/>
      <c r="O159" s="112" t="s">
        <v>203</v>
      </c>
    </row>
    <row r="160" spans="1:15" s="185" customFormat="1" ht="118.5" customHeight="1">
      <c r="A160" s="337">
        <v>38</v>
      </c>
      <c r="B160" s="319" t="s">
        <v>9</v>
      </c>
      <c r="C160" s="306" t="s">
        <v>10</v>
      </c>
      <c r="D160" s="320">
        <v>161</v>
      </c>
      <c r="E160" s="321">
        <f t="shared" si="29"/>
        <v>161</v>
      </c>
      <c r="F160" s="322">
        <v>0</v>
      </c>
      <c r="G160" s="256">
        <f aca="true" t="shared" si="31" ref="G160:G165">D160-F160</f>
        <v>161</v>
      </c>
      <c r="H160" s="257">
        <f t="shared" si="30"/>
        <v>161</v>
      </c>
      <c r="I160" s="237"/>
      <c r="J160" s="237"/>
      <c r="K160" s="322"/>
      <c r="L160" s="322">
        <v>0</v>
      </c>
      <c r="M160" s="316">
        <v>161</v>
      </c>
      <c r="N160" s="256"/>
      <c r="O160" s="112" t="s">
        <v>203</v>
      </c>
    </row>
    <row r="161" spans="1:15" s="185" customFormat="1" ht="60" customHeight="1">
      <c r="A161" s="337">
        <v>39</v>
      </c>
      <c r="B161" s="319" t="s">
        <v>14</v>
      </c>
      <c r="C161" s="306" t="s">
        <v>289</v>
      </c>
      <c r="D161" s="320">
        <v>200</v>
      </c>
      <c r="E161" s="321">
        <f t="shared" si="29"/>
        <v>200</v>
      </c>
      <c r="F161" s="322">
        <v>0</v>
      </c>
      <c r="G161" s="256">
        <f t="shared" si="31"/>
        <v>200</v>
      </c>
      <c r="H161" s="257">
        <f t="shared" si="30"/>
        <v>200</v>
      </c>
      <c r="I161" s="237"/>
      <c r="J161" s="237"/>
      <c r="K161" s="322"/>
      <c r="L161" s="322">
        <v>200</v>
      </c>
      <c r="M161" s="316">
        <v>0</v>
      </c>
      <c r="N161" s="256"/>
      <c r="O161" s="112" t="s">
        <v>203</v>
      </c>
    </row>
    <row r="162" spans="1:15" s="185" customFormat="1" ht="63" customHeight="1">
      <c r="A162" s="337">
        <v>40</v>
      </c>
      <c r="B162" s="319" t="s">
        <v>15</v>
      </c>
      <c r="C162" s="306" t="s">
        <v>289</v>
      </c>
      <c r="D162" s="320">
        <v>160</v>
      </c>
      <c r="E162" s="321">
        <f t="shared" si="29"/>
        <v>160</v>
      </c>
      <c r="F162" s="322">
        <v>0</v>
      </c>
      <c r="G162" s="256">
        <f t="shared" si="31"/>
        <v>160</v>
      </c>
      <c r="H162" s="257">
        <f t="shared" si="30"/>
        <v>160</v>
      </c>
      <c r="I162" s="237"/>
      <c r="J162" s="237"/>
      <c r="K162" s="322"/>
      <c r="L162" s="322">
        <v>160</v>
      </c>
      <c r="M162" s="316">
        <v>0</v>
      </c>
      <c r="N162" s="256"/>
      <c r="O162" s="112" t="s">
        <v>203</v>
      </c>
    </row>
    <row r="163" spans="1:15" s="185" customFormat="1" ht="63" customHeight="1">
      <c r="A163" s="337">
        <v>41</v>
      </c>
      <c r="B163" s="319" t="s">
        <v>16</v>
      </c>
      <c r="C163" s="306" t="s">
        <v>289</v>
      </c>
      <c r="D163" s="320">
        <v>396</v>
      </c>
      <c r="E163" s="321">
        <f t="shared" si="29"/>
        <v>396</v>
      </c>
      <c r="F163" s="322">
        <v>0</v>
      </c>
      <c r="G163" s="256">
        <f t="shared" si="31"/>
        <v>396</v>
      </c>
      <c r="H163" s="257">
        <f t="shared" si="30"/>
        <v>396</v>
      </c>
      <c r="I163" s="237"/>
      <c r="J163" s="237"/>
      <c r="K163" s="322"/>
      <c r="L163" s="322">
        <v>396</v>
      </c>
      <c r="M163" s="316">
        <v>0</v>
      </c>
      <c r="N163" s="256"/>
      <c r="O163" s="112" t="s">
        <v>203</v>
      </c>
    </row>
    <row r="164" spans="1:15" s="185" customFormat="1" ht="33" customHeight="1">
      <c r="A164" s="337">
        <v>42</v>
      </c>
      <c r="B164" s="319" t="s">
        <v>17</v>
      </c>
      <c r="C164" s="306" t="s">
        <v>289</v>
      </c>
      <c r="D164" s="320">
        <v>350</v>
      </c>
      <c r="E164" s="321">
        <f t="shared" si="29"/>
        <v>350</v>
      </c>
      <c r="F164" s="322">
        <v>0</v>
      </c>
      <c r="G164" s="256">
        <f t="shared" si="31"/>
        <v>350</v>
      </c>
      <c r="H164" s="257">
        <f t="shared" si="30"/>
        <v>350</v>
      </c>
      <c r="I164" s="237"/>
      <c r="J164" s="237"/>
      <c r="K164" s="322"/>
      <c r="L164" s="322">
        <v>350</v>
      </c>
      <c r="M164" s="316">
        <v>0</v>
      </c>
      <c r="N164" s="256"/>
      <c r="O164" s="112" t="s">
        <v>203</v>
      </c>
    </row>
    <row r="165" spans="1:15" s="185" customFormat="1" ht="48.75" customHeight="1">
      <c r="A165" s="337">
        <v>43</v>
      </c>
      <c r="B165" s="319" t="s">
        <v>18</v>
      </c>
      <c r="C165" s="306" t="s">
        <v>289</v>
      </c>
      <c r="D165" s="320">
        <v>1000</v>
      </c>
      <c r="E165" s="321">
        <f t="shared" si="29"/>
        <v>1000</v>
      </c>
      <c r="F165" s="322">
        <v>0</v>
      </c>
      <c r="G165" s="256">
        <f t="shared" si="31"/>
        <v>1000</v>
      </c>
      <c r="H165" s="257">
        <f t="shared" si="30"/>
        <v>1000</v>
      </c>
      <c r="I165" s="237"/>
      <c r="J165" s="237"/>
      <c r="K165" s="322"/>
      <c r="L165" s="322">
        <v>1000</v>
      </c>
      <c r="M165" s="316">
        <v>0</v>
      </c>
      <c r="N165" s="256"/>
      <c r="O165" s="112" t="s">
        <v>203</v>
      </c>
    </row>
    <row r="166" spans="1:14" ht="29.25" customHeight="1">
      <c r="A166" s="266"/>
      <c r="B166" s="267"/>
      <c r="C166" s="236" t="s">
        <v>187</v>
      </c>
      <c r="D166" s="268">
        <f>SUM(D123:D165)</f>
        <v>40991</v>
      </c>
      <c r="E166" s="268">
        <f aca="true" t="shared" si="32" ref="E166:N166">SUM(E123:E165)</f>
        <v>40991</v>
      </c>
      <c r="F166" s="268">
        <f t="shared" si="32"/>
        <v>515</v>
      </c>
      <c r="G166" s="268">
        <f t="shared" si="32"/>
        <v>40476</v>
      </c>
      <c r="H166" s="268">
        <f t="shared" si="32"/>
        <v>12368</v>
      </c>
      <c r="I166" s="268">
        <f t="shared" si="32"/>
        <v>0</v>
      </c>
      <c r="J166" s="268">
        <f t="shared" si="32"/>
        <v>0</v>
      </c>
      <c r="K166" s="268">
        <f t="shared" si="32"/>
        <v>0</v>
      </c>
      <c r="L166" s="268">
        <f t="shared" si="32"/>
        <v>2106</v>
      </c>
      <c r="M166" s="268">
        <f t="shared" si="32"/>
        <v>10262</v>
      </c>
      <c r="N166" s="268">
        <f t="shared" si="32"/>
        <v>0</v>
      </c>
    </row>
    <row r="167" spans="1:14" ht="29.25" customHeight="1">
      <c r="A167" s="266"/>
      <c r="B167" s="267"/>
      <c r="C167" s="236"/>
      <c r="D167" s="269"/>
      <c r="E167" s="269"/>
      <c r="F167" s="269"/>
      <c r="G167" s="269"/>
      <c r="H167" s="269"/>
      <c r="I167" s="269"/>
      <c r="J167" s="269"/>
      <c r="K167" s="269"/>
      <c r="L167" s="269"/>
      <c r="M167" s="269"/>
      <c r="N167" s="269"/>
    </row>
    <row r="168" spans="1:14" ht="29.25" customHeight="1">
      <c r="A168" s="266"/>
      <c r="B168" s="267"/>
      <c r="C168" s="236"/>
      <c r="D168" s="269"/>
      <c r="E168" s="269"/>
      <c r="F168" s="269"/>
      <c r="G168" s="269"/>
      <c r="H168" s="269"/>
      <c r="I168" s="269"/>
      <c r="J168" s="269"/>
      <c r="K168" s="269"/>
      <c r="L168" s="269"/>
      <c r="M168" s="269"/>
      <c r="N168" s="269"/>
    </row>
    <row r="169" spans="1:14" ht="29.25" customHeight="1">
      <c r="A169" s="266"/>
      <c r="B169" s="267"/>
      <c r="C169" s="236"/>
      <c r="D169" s="269"/>
      <c r="E169" s="269"/>
      <c r="F169" s="269"/>
      <c r="G169" s="269"/>
      <c r="H169" s="269"/>
      <c r="I169" s="269"/>
      <c r="J169" s="269"/>
      <c r="K169" s="269"/>
      <c r="L169" s="269"/>
      <c r="M169" s="269"/>
      <c r="N169" s="269"/>
    </row>
    <row r="170" spans="1:14" ht="29.25" customHeight="1">
      <c r="A170" s="266"/>
      <c r="B170" s="267"/>
      <c r="C170" s="236"/>
      <c r="D170" s="269"/>
      <c r="E170" s="269"/>
      <c r="F170" s="269"/>
      <c r="G170" s="269"/>
      <c r="H170" s="269"/>
      <c r="I170" s="269"/>
      <c r="J170" s="269"/>
      <c r="K170" s="269"/>
      <c r="L170" s="269"/>
      <c r="M170" s="269"/>
      <c r="N170" s="269"/>
    </row>
    <row r="171" spans="1:14" ht="29.25" customHeight="1">
      <c r="A171" s="266"/>
      <c r="B171" s="267"/>
      <c r="C171" s="236"/>
      <c r="D171" s="269"/>
      <c r="E171" s="269"/>
      <c r="F171" s="269"/>
      <c r="G171" s="269"/>
      <c r="H171" s="269"/>
      <c r="I171" s="269"/>
      <c r="J171" s="269"/>
      <c r="K171" s="269"/>
      <c r="L171" s="269"/>
      <c r="M171" s="269"/>
      <c r="N171" s="269"/>
    </row>
    <row r="172" spans="1:14" ht="29.25" customHeight="1">
      <c r="A172" s="266"/>
      <c r="B172" s="267"/>
      <c r="C172" s="236"/>
      <c r="D172" s="269"/>
      <c r="E172" s="269"/>
      <c r="F172" s="269"/>
      <c r="G172" s="269"/>
      <c r="H172" s="269"/>
      <c r="I172" s="269"/>
      <c r="J172" s="269"/>
      <c r="K172" s="269"/>
      <c r="L172" s="269"/>
      <c r="M172" s="269"/>
      <c r="N172" s="269"/>
    </row>
    <row r="173" spans="1:14" ht="29.25" customHeight="1">
      <c r="A173" s="266"/>
      <c r="B173" s="267"/>
      <c r="C173" s="236"/>
      <c r="D173" s="269"/>
      <c r="E173" s="269"/>
      <c r="F173" s="269"/>
      <c r="G173" s="269"/>
      <c r="H173" s="269"/>
      <c r="I173" s="269"/>
      <c r="J173" s="269"/>
      <c r="K173" s="269"/>
      <c r="L173" s="269"/>
      <c r="M173" s="269"/>
      <c r="N173" s="269"/>
    </row>
    <row r="174" spans="1:14" ht="23.25" customHeight="1" thickBot="1">
      <c r="A174" s="106" t="s">
        <v>238</v>
      </c>
      <c r="B174" s="110"/>
      <c r="C174" s="107"/>
      <c r="D174" s="108"/>
      <c r="E174" s="108"/>
      <c r="F174" s="13"/>
      <c r="G174" s="13"/>
      <c r="H174" s="13"/>
      <c r="I174" s="13"/>
      <c r="J174" s="13"/>
      <c r="K174" s="13"/>
      <c r="L174" s="105"/>
      <c r="M174" s="13"/>
      <c r="N174" s="109" t="s">
        <v>185</v>
      </c>
    </row>
    <row r="175" spans="1:14" ht="50.25" customHeight="1" thickBot="1">
      <c r="A175" s="293" t="s">
        <v>186</v>
      </c>
      <c r="B175" s="294" t="s">
        <v>188</v>
      </c>
      <c r="C175" s="295" t="s">
        <v>223</v>
      </c>
      <c r="D175" s="294" t="s">
        <v>457</v>
      </c>
      <c r="E175" s="296" t="s">
        <v>220</v>
      </c>
      <c r="F175" s="297" t="s">
        <v>458</v>
      </c>
      <c r="G175" s="297" t="s">
        <v>278</v>
      </c>
      <c r="H175" s="297" t="s">
        <v>459</v>
      </c>
      <c r="I175" s="125" t="s">
        <v>222</v>
      </c>
      <c r="J175" s="126" t="s">
        <v>221</v>
      </c>
      <c r="K175" s="298" t="s">
        <v>254</v>
      </c>
      <c r="L175" s="297" t="s">
        <v>432</v>
      </c>
      <c r="M175" s="297" t="s">
        <v>192</v>
      </c>
      <c r="N175" s="299" t="s">
        <v>204</v>
      </c>
    </row>
    <row r="176" spans="1:15" ht="125.25" customHeight="1">
      <c r="A176" s="345">
        <v>1</v>
      </c>
      <c r="B176" s="317" t="s">
        <v>100</v>
      </c>
      <c r="C176" s="306" t="s">
        <v>52</v>
      </c>
      <c r="D176" s="254">
        <v>500</v>
      </c>
      <c r="E176" s="254">
        <f>D176</f>
        <v>500</v>
      </c>
      <c r="F176" s="255">
        <v>0</v>
      </c>
      <c r="G176" s="346">
        <f>D176-F176</f>
        <v>500</v>
      </c>
      <c r="H176" s="257">
        <f>SUM(K176:N176)</f>
        <v>500</v>
      </c>
      <c r="I176" s="257"/>
      <c r="J176" s="257"/>
      <c r="K176" s="256"/>
      <c r="L176" s="256"/>
      <c r="M176" s="255">
        <v>500</v>
      </c>
      <c r="N176" s="256"/>
      <c r="O176" s="112" t="s">
        <v>203</v>
      </c>
    </row>
    <row r="177" spans="1:15" ht="84" customHeight="1">
      <c r="A177" s="345">
        <v>2</v>
      </c>
      <c r="B177" s="317" t="s">
        <v>101</v>
      </c>
      <c r="C177" s="306" t="s">
        <v>52</v>
      </c>
      <c r="D177" s="254">
        <v>50</v>
      </c>
      <c r="E177" s="254">
        <f>D177</f>
        <v>50</v>
      </c>
      <c r="F177" s="255">
        <v>0</v>
      </c>
      <c r="G177" s="346">
        <f>D177-F177</f>
        <v>50</v>
      </c>
      <c r="H177" s="257">
        <f>SUM(K177:N177)</f>
        <v>50</v>
      </c>
      <c r="I177" s="257"/>
      <c r="J177" s="257"/>
      <c r="K177" s="256"/>
      <c r="L177" s="256"/>
      <c r="M177" s="255">
        <v>50</v>
      </c>
      <c r="N177" s="256"/>
      <c r="O177" s="112" t="s">
        <v>203</v>
      </c>
    </row>
    <row r="178" spans="1:15" ht="75">
      <c r="A178" s="345">
        <v>3</v>
      </c>
      <c r="B178" s="317" t="s">
        <v>151</v>
      </c>
      <c r="C178" s="306" t="s">
        <v>526</v>
      </c>
      <c r="D178" s="347">
        <f>2906+4654</f>
        <v>7560</v>
      </c>
      <c r="E178" s="254">
        <f>D178</f>
        <v>7560</v>
      </c>
      <c r="F178" s="316">
        <f>2326+580</f>
        <v>2906</v>
      </c>
      <c r="G178" s="346">
        <f>D178-F178</f>
        <v>4654</v>
      </c>
      <c r="H178" s="237">
        <f>SUM(K178:N178)</f>
        <v>4654</v>
      </c>
      <c r="I178" s="237"/>
      <c r="J178" s="237"/>
      <c r="K178" s="322"/>
      <c r="L178" s="322"/>
      <c r="M178" s="316">
        <v>4654</v>
      </c>
      <c r="N178" s="322"/>
      <c r="O178" s="112" t="s">
        <v>203</v>
      </c>
    </row>
    <row r="179" spans="1:15" ht="30" customHeight="1">
      <c r="A179" s="235"/>
      <c r="B179" s="13" t="s">
        <v>191</v>
      </c>
      <c r="C179" s="236" t="s">
        <v>187</v>
      </c>
      <c r="D179" s="237">
        <f aca="true" t="shared" si="33" ref="D179:N179">SUM(D176:D178)</f>
        <v>8110</v>
      </c>
      <c r="E179" s="237">
        <f t="shared" si="33"/>
        <v>8110</v>
      </c>
      <c r="F179" s="237">
        <f t="shared" si="33"/>
        <v>2906</v>
      </c>
      <c r="G179" s="237">
        <f t="shared" si="33"/>
        <v>5204</v>
      </c>
      <c r="H179" s="237">
        <f t="shared" si="33"/>
        <v>5204</v>
      </c>
      <c r="I179" s="237">
        <f t="shared" si="33"/>
        <v>0</v>
      </c>
      <c r="J179" s="237">
        <f t="shared" si="33"/>
        <v>0</v>
      </c>
      <c r="K179" s="237">
        <f t="shared" si="33"/>
        <v>0</v>
      </c>
      <c r="L179" s="237">
        <f t="shared" si="33"/>
        <v>0</v>
      </c>
      <c r="M179" s="237">
        <f t="shared" si="33"/>
        <v>5204</v>
      </c>
      <c r="N179" s="237">
        <f t="shared" si="33"/>
        <v>0</v>
      </c>
      <c r="O179" s="238"/>
    </row>
    <row r="180" spans="1:15" ht="31.5" customHeight="1" hidden="1">
      <c r="A180" s="235"/>
      <c r="B180" s="13"/>
      <c r="C180" s="236"/>
      <c r="D180" s="14"/>
      <c r="E180" s="14"/>
      <c r="F180" s="14"/>
      <c r="G180" s="14"/>
      <c r="H180" s="14"/>
      <c r="I180" s="14"/>
      <c r="J180" s="14"/>
      <c r="K180" s="14"/>
      <c r="L180" s="14"/>
      <c r="M180" s="14"/>
      <c r="N180" s="14"/>
      <c r="O180" s="238"/>
    </row>
    <row r="181" spans="1:14" ht="37.5" customHeight="1" hidden="1" thickBot="1">
      <c r="A181" s="106" t="s">
        <v>284</v>
      </c>
      <c r="B181" s="110"/>
      <c r="C181" s="107"/>
      <c r="D181" s="108"/>
      <c r="E181" s="108"/>
      <c r="F181" s="13"/>
      <c r="G181" s="13"/>
      <c r="H181" s="13"/>
      <c r="I181" s="13"/>
      <c r="J181" s="13"/>
      <c r="K181" s="13"/>
      <c r="L181" s="105"/>
      <c r="M181" s="13"/>
      <c r="N181" s="109" t="s">
        <v>185</v>
      </c>
    </row>
    <row r="182" spans="1:14" ht="58.5" customHeight="1" hidden="1" thickBot="1">
      <c r="A182" s="293" t="s">
        <v>186</v>
      </c>
      <c r="B182" s="294" t="s">
        <v>188</v>
      </c>
      <c r="C182" s="295" t="s">
        <v>223</v>
      </c>
      <c r="D182" s="294" t="s">
        <v>457</v>
      </c>
      <c r="E182" s="296" t="s">
        <v>220</v>
      </c>
      <c r="F182" s="297" t="s">
        <v>458</v>
      </c>
      <c r="G182" s="297" t="s">
        <v>278</v>
      </c>
      <c r="H182" s="297" t="s">
        <v>459</v>
      </c>
      <c r="I182" s="125" t="s">
        <v>222</v>
      </c>
      <c r="J182" s="126" t="s">
        <v>221</v>
      </c>
      <c r="K182" s="298" t="s">
        <v>254</v>
      </c>
      <c r="L182" s="297" t="s">
        <v>432</v>
      </c>
      <c r="M182" s="297" t="s">
        <v>192</v>
      </c>
      <c r="N182" s="299" t="s">
        <v>204</v>
      </c>
    </row>
    <row r="183" spans="1:15" ht="82.5" customHeight="1" hidden="1">
      <c r="A183" s="258">
        <v>1</v>
      </c>
      <c r="B183" s="221"/>
      <c r="C183" s="306" t="s">
        <v>207</v>
      </c>
      <c r="D183" s="254">
        <v>0</v>
      </c>
      <c r="E183" s="254">
        <f>D183</f>
        <v>0</v>
      </c>
      <c r="F183" s="255">
        <v>0</v>
      </c>
      <c r="G183" s="256">
        <f>D183-F183</f>
        <v>0</v>
      </c>
      <c r="H183" s="257">
        <f>SUM(K183:N183)</f>
        <v>0</v>
      </c>
      <c r="I183" s="257"/>
      <c r="J183" s="257"/>
      <c r="K183" s="256">
        <v>0</v>
      </c>
      <c r="L183" s="256"/>
      <c r="M183" s="255">
        <v>0</v>
      </c>
      <c r="N183" s="256"/>
      <c r="O183" s="112" t="s">
        <v>203</v>
      </c>
    </row>
    <row r="184" spans="1:15" ht="30.75" customHeight="1" hidden="1">
      <c r="A184" s="235"/>
      <c r="B184" s="13"/>
      <c r="C184" s="236" t="s">
        <v>187</v>
      </c>
      <c r="D184" s="237">
        <f aca="true" t="shared" si="34" ref="D184:N184">SUM(D183:D183)</f>
        <v>0</v>
      </c>
      <c r="E184" s="237">
        <f t="shared" si="34"/>
        <v>0</v>
      </c>
      <c r="F184" s="237">
        <f t="shared" si="34"/>
        <v>0</v>
      </c>
      <c r="G184" s="237">
        <f t="shared" si="34"/>
        <v>0</v>
      </c>
      <c r="H184" s="237">
        <f t="shared" si="34"/>
        <v>0</v>
      </c>
      <c r="I184" s="237">
        <f t="shared" si="34"/>
        <v>0</v>
      </c>
      <c r="J184" s="237">
        <f t="shared" si="34"/>
        <v>0</v>
      </c>
      <c r="K184" s="237">
        <f t="shared" si="34"/>
        <v>0</v>
      </c>
      <c r="L184" s="237">
        <f t="shared" si="34"/>
        <v>0</v>
      </c>
      <c r="M184" s="237">
        <f t="shared" si="34"/>
        <v>0</v>
      </c>
      <c r="N184" s="237">
        <f t="shared" si="34"/>
        <v>0</v>
      </c>
      <c r="O184" s="238"/>
    </row>
    <row r="185" spans="1:15" ht="30.75" customHeight="1">
      <c r="A185" s="235"/>
      <c r="B185" s="13"/>
      <c r="C185" s="236"/>
      <c r="D185" s="14"/>
      <c r="E185" s="14"/>
      <c r="F185" s="14"/>
      <c r="G185" s="14"/>
      <c r="H185" s="14"/>
      <c r="I185" s="14"/>
      <c r="J185" s="14"/>
      <c r="K185" s="14"/>
      <c r="L185" s="14"/>
      <c r="M185" s="14"/>
      <c r="N185" s="14"/>
      <c r="O185" s="238"/>
    </row>
    <row r="186" spans="1:15" ht="30.75" customHeight="1">
      <c r="A186" s="235"/>
      <c r="B186" s="13"/>
      <c r="C186" s="236"/>
      <c r="D186" s="14"/>
      <c r="E186" s="14"/>
      <c r="F186" s="14"/>
      <c r="G186" s="14"/>
      <c r="H186" s="14"/>
      <c r="I186" s="14"/>
      <c r="J186" s="14"/>
      <c r="K186" s="14"/>
      <c r="L186" s="14"/>
      <c r="M186" s="14"/>
      <c r="N186" s="14"/>
      <c r="O186" s="238"/>
    </row>
    <row r="187" spans="1:15" ht="30.75" customHeight="1">
      <c r="A187" s="235"/>
      <c r="B187" s="13"/>
      <c r="C187" s="236"/>
      <c r="D187" s="14"/>
      <c r="E187" s="14"/>
      <c r="F187" s="14"/>
      <c r="G187" s="14"/>
      <c r="H187" s="14"/>
      <c r="I187" s="14"/>
      <c r="J187" s="14"/>
      <c r="K187" s="14"/>
      <c r="L187" s="14"/>
      <c r="M187" s="14"/>
      <c r="N187" s="14"/>
      <c r="O187" s="238"/>
    </row>
    <row r="188" spans="1:15" ht="38.25" customHeight="1">
      <c r="A188" s="235"/>
      <c r="B188" s="13"/>
      <c r="C188" s="236"/>
      <c r="D188" s="14"/>
      <c r="E188" s="14"/>
      <c r="F188" s="14"/>
      <c r="G188" s="14"/>
      <c r="H188" s="14"/>
      <c r="I188" s="14"/>
      <c r="J188" s="14"/>
      <c r="K188" s="14"/>
      <c r="L188" s="14"/>
      <c r="M188" s="14"/>
      <c r="N188" s="14"/>
      <c r="O188" s="238"/>
    </row>
    <row r="189" spans="1:15" ht="22.5" customHeight="1">
      <c r="A189" s="106" t="s">
        <v>291</v>
      </c>
      <c r="B189" s="110"/>
      <c r="C189" s="107"/>
      <c r="D189" s="108"/>
      <c r="E189" s="108"/>
      <c r="F189" s="13"/>
      <c r="G189" s="13"/>
      <c r="H189" s="13"/>
      <c r="I189" s="13"/>
      <c r="J189" s="13"/>
      <c r="K189" s="13"/>
      <c r="L189" s="105"/>
      <c r="M189" s="13"/>
      <c r="O189" s="238"/>
    </row>
    <row r="190" spans="1:15" ht="11.25" customHeight="1" thickBot="1">
      <c r="A190" s="106"/>
      <c r="B190" s="110"/>
      <c r="C190" s="107"/>
      <c r="D190" s="108"/>
      <c r="E190" s="108"/>
      <c r="F190" s="13"/>
      <c r="G190" s="13"/>
      <c r="H190" s="13"/>
      <c r="I190" s="13"/>
      <c r="J190" s="13"/>
      <c r="K190" s="13"/>
      <c r="L190" s="105"/>
      <c r="M190" s="13"/>
      <c r="N190" s="109" t="s">
        <v>185</v>
      </c>
      <c r="O190" s="238"/>
    </row>
    <row r="191" spans="1:15" ht="55.5" customHeight="1" thickBot="1">
      <c r="A191" s="293" t="s">
        <v>186</v>
      </c>
      <c r="B191" s="294" t="s">
        <v>188</v>
      </c>
      <c r="C191" s="295" t="s">
        <v>223</v>
      </c>
      <c r="D191" s="294" t="s">
        <v>457</v>
      </c>
      <c r="E191" s="296" t="s">
        <v>220</v>
      </c>
      <c r="F191" s="297" t="s">
        <v>458</v>
      </c>
      <c r="G191" s="297" t="s">
        <v>278</v>
      </c>
      <c r="H191" s="297" t="s">
        <v>459</v>
      </c>
      <c r="I191" s="125" t="s">
        <v>222</v>
      </c>
      <c r="J191" s="126" t="s">
        <v>221</v>
      </c>
      <c r="K191" s="298" t="s">
        <v>254</v>
      </c>
      <c r="L191" s="297" t="s">
        <v>432</v>
      </c>
      <c r="M191" s="297" t="s">
        <v>192</v>
      </c>
      <c r="N191" s="299" t="s">
        <v>204</v>
      </c>
      <c r="O191" s="238"/>
    </row>
    <row r="192" spans="1:15" ht="90">
      <c r="A192" s="345">
        <v>1</v>
      </c>
      <c r="B192" s="253" t="s">
        <v>344</v>
      </c>
      <c r="C192" s="306" t="s">
        <v>526</v>
      </c>
      <c r="D192" s="254">
        <v>158</v>
      </c>
      <c r="E192" s="254">
        <f>D192</f>
        <v>158</v>
      </c>
      <c r="F192" s="255">
        <v>29</v>
      </c>
      <c r="G192" s="256">
        <f>D192-F192</f>
        <v>129</v>
      </c>
      <c r="H192" s="257">
        <f>SUM(K192:N192)</f>
        <v>38</v>
      </c>
      <c r="I192" s="257"/>
      <c r="J192" s="257"/>
      <c r="K192" s="256">
        <v>0</v>
      </c>
      <c r="L192" s="256"/>
      <c r="M192" s="255">
        <v>38</v>
      </c>
      <c r="N192" s="256"/>
      <c r="O192" s="112" t="s">
        <v>203</v>
      </c>
    </row>
    <row r="193" spans="1:15" ht="52.5">
      <c r="A193" s="345">
        <v>2</v>
      </c>
      <c r="B193" s="253" t="s">
        <v>544</v>
      </c>
      <c r="C193" s="306" t="s">
        <v>526</v>
      </c>
      <c r="D193" s="254">
        <v>100</v>
      </c>
      <c r="E193" s="254">
        <f>D193</f>
        <v>100</v>
      </c>
      <c r="F193" s="255">
        <v>29</v>
      </c>
      <c r="G193" s="256">
        <f>D193-F193</f>
        <v>71</v>
      </c>
      <c r="H193" s="257">
        <f>SUM(K193:N193)</f>
        <v>1</v>
      </c>
      <c r="I193" s="257"/>
      <c r="J193" s="257"/>
      <c r="K193" s="256">
        <v>0</v>
      </c>
      <c r="L193" s="256"/>
      <c r="M193" s="255">
        <v>1</v>
      </c>
      <c r="N193" s="256"/>
      <c r="O193" s="112" t="s">
        <v>203</v>
      </c>
    </row>
    <row r="194" spans="1:15" ht="60">
      <c r="A194" s="345">
        <v>3</v>
      </c>
      <c r="B194" s="253" t="s">
        <v>442</v>
      </c>
      <c r="C194" s="306" t="s">
        <v>526</v>
      </c>
      <c r="D194" s="254">
        <v>35</v>
      </c>
      <c r="E194" s="254">
        <f>D194</f>
        <v>35</v>
      </c>
      <c r="F194" s="255">
        <v>0</v>
      </c>
      <c r="G194" s="256">
        <f>D194-F194</f>
        <v>35</v>
      </c>
      <c r="H194" s="257">
        <f>SUM(K194:N194)</f>
        <v>35</v>
      </c>
      <c r="I194" s="257"/>
      <c r="J194" s="257"/>
      <c r="K194" s="256">
        <v>0</v>
      </c>
      <c r="L194" s="256"/>
      <c r="M194" s="255">
        <v>35</v>
      </c>
      <c r="N194" s="256"/>
      <c r="O194" s="112" t="s">
        <v>203</v>
      </c>
    </row>
    <row r="195" spans="1:15" ht="74.25" customHeight="1">
      <c r="A195" s="345">
        <v>4</v>
      </c>
      <c r="B195" s="253" t="s">
        <v>543</v>
      </c>
      <c r="C195" s="306" t="s">
        <v>526</v>
      </c>
      <c r="D195" s="254">
        <v>161</v>
      </c>
      <c r="E195" s="254">
        <f>D195</f>
        <v>161</v>
      </c>
      <c r="F195" s="255">
        <v>0</v>
      </c>
      <c r="G195" s="256">
        <f>D195-F195</f>
        <v>161</v>
      </c>
      <c r="H195" s="257">
        <f>SUM(K195:N195)</f>
        <v>161</v>
      </c>
      <c r="I195" s="257"/>
      <c r="J195" s="257"/>
      <c r="K195" s="256">
        <v>0</v>
      </c>
      <c r="L195" s="256"/>
      <c r="M195" s="255">
        <v>161</v>
      </c>
      <c r="N195" s="256"/>
      <c r="O195" s="112" t="s">
        <v>203</v>
      </c>
    </row>
    <row r="196" spans="1:15" ht="25.5" customHeight="1">
      <c r="A196" s="235"/>
      <c r="B196" s="13"/>
      <c r="C196" s="236" t="s">
        <v>187</v>
      </c>
      <c r="D196" s="237">
        <f>SUM(D192:D195)</f>
        <v>454</v>
      </c>
      <c r="E196" s="237">
        <f aca="true" t="shared" si="35" ref="E196:N196">SUM(E192:E195)</f>
        <v>454</v>
      </c>
      <c r="F196" s="237">
        <f t="shared" si="35"/>
        <v>58</v>
      </c>
      <c r="G196" s="237">
        <f t="shared" si="35"/>
        <v>396</v>
      </c>
      <c r="H196" s="237">
        <f t="shared" si="35"/>
        <v>235</v>
      </c>
      <c r="I196" s="237">
        <f t="shared" si="35"/>
        <v>0</v>
      </c>
      <c r="J196" s="237">
        <f t="shared" si="35"/>
        <v>0</v>
      </c>
      <c r="K196" s="237">
        <f t="shared" si="35"/>
        <v>0</v>
      </c>
      <c r="L196" s="237">
        <f t="shared" si="35"/>
        <v>0</v>
      </c>
      <c r="M196" s="237">
        <f t="shared" si="35"/>
        <v>235</v>
      </c>
      <c r="N196" s="237">
        <f t="shared" si="35"/>
        <v>0</v>
      </c>
      <c r="O196" s="238"/>
    </row>
    <row r="197" spans="1:15" ht="25.5" customHeight="1">
      <c r="A197" s="235"/>
      <c r="B197" s="13"/>
      <c r="C197" s="236"/>
      <c r="D197" s="14"/>
      <c r="E197" s="14"/>
      <c r="F197" s="14"/>
      <c r="G197" s="14"/>
      <c r="H197" s="14"/>
      <c r="I197" s="14"/>
      <c r="J197" s="14"/>
      <c r="K197" s="14"/>
      <c r="L197" s="14"/>
      <c r="M197" s="14"/>
      <c r="N197" s="14"/>
      <c r="O197" s="238"/>
    </row>
    <row r="198" spans="1:15" ht="25.5" customHeight="1">
      <c r="A198" s="235"/>
      <c r="B198" s="13"/>
      <c r="C198" s="236"/>
      <c r="D198" s="14"/>
      <c r="E198" s="14"/>
      <c r="F198" s="14"/>
      <c r="G198" s="14"/>
      <c r="H198" s="14"/>
      <c r="I198" s="14"/>
      <c r="J198" s="14"/>
      <c r="K198" s="14"/>
      <c r="L198" s="14"/>
      <c r="M198" s="14"/>
      <c r="N198" s="14"/>
      <c r="O198" s="238"/>
    </row>
    <row r="199" spans="1:15" ht="23.25" customHeight="1">
      <c r="A199" s="235"/>
      <c r="B199" s="13"/>
      <c r="C199" s="236"/>
      <c r="D199" s="14"/>
      <c r="E199" s="14"/>
      <c r="F199" s="14"/>
      <c r="G199" s="14"/>
      <c r="H199" s="14"/>
      <c r="I199" s="14"/>
      <c r="J199" s="14"/>
      <c r="K199" s="14"/>
      <c r="L199" s="14"/>
      <c r="M199" s="14"/>
      <c r="N199" s="14"/>
      <c r="O199" s="238"/>
    </row>
    <row r="200" spans="1:15" ht="23.25" customHeight="1">
      <c r="A200" s="235"/>
      <c r="B200" s="13"/>
      <c r="C200" s="236"/>
      <c r="D200" s="14"/>
      <c r="E200" s="14"/>
      <c r="F200" s="14"/>
      <c r="G200" s="14"/>
      <c r="H200" s="14"/>
      <c r="I200" s="14"/>
      <c r="J200" s="14"/>
      <c r="K200" s="14"/>
      <c r="L200" s="14"/>
      <c r="M200" s="14"/>
      <c r="N200" s="14"/>
      <c r="O200" s="238"/>
    </row>
    <row r="201" spans="1:15" ht="14.25" customHeight="1">
      <c r="A201" s="235"/>
      <c r="B201" s="107"/>
      <c r="C201" s="236"/>
      <c r="D201" s="14"/>
      <c r="E201" s="14"/>
      <c r="F201" s="14"/>
      <c r="G201" s="14"/>
      <c r="H201" s="14"/>
      <c r="I201" s="14"/>
      <c r="J201" s="14"/>
      <c r="K201" s="14"/>
      <c r="L201" s="14"/>
      <c r="M201" s="14"/>
      <c r="N201" s="14"/>
      <c r="O201" s="238"/>
    </row>
    <row r="202" spans="1:14" ht="27.75" customHeight="1" thickBot="1">
      <c r="A202" s="106" t="s">
        <v>252</v>
      </c>
      <c r="B202" s="270"/>
      <c r="C202" s="107"/>
      <c r="D202" s="108"/>
      <c r="E202" s="108"/>
      <c r="F202" s="13"/>
      <c r="G202" s="13"/>
      <c r="H202" s="13"/>
      <c r="I202" s="13"/>
      <c r="J202" s="13"/>
      <c r="K202" s="13"/>
      <c r="L202" s="105"/>
      <c r="M202" s="13"/>
      <c r="N202" s="109" t="s">
        <v>185</v>
      </c>
    </row>
    <row r="203" spans="1:14" ht="67.5" customHeight="1" thickBot="1">
      <c r="A203" s="293" t="s">
        <v>186</v>
      </c>
      <c r="B203" s="294" t="s">
        <v>188</v>
      </c>
      <c r="C203" s="295" t="s">
        <v>223</v>
      </c>
      <c r="D203" s="294" t="s">
        <v>457</v>
      </c>
      <c r="E203" s="296" t="s">
        <v>220</v>
      </c>
      <c r="F203" s="297" t="s">
        <v>458</v>
      </c>
      <c r="G203" s="297" t="s">
        <v>278</v>
      </c>
      <c r="H203" s="297" t="s">
        <v>459</v>
      </c>
      <c r="I203" s="125" t="s">
        <v>222</v>
      </c>
      <c r="J203" s="126" t="s">
        <v>221</v>
      </c>
      <c r="K203" s="298" t="s">
        <v>254</v>
      </c>
      <c r="L203" s="297" t="s">
        <v>432</v>
      </c>
      <c r="M203" s="297" t="s">
        <v>192</v>
      </c>
      <c r="N203" s="299" t="s">
        <v>204</v>
      </c>
    </row>
    <row r="204" spans="1:15" ht="78.75" customHeight="1">
      <c r="A204" s="337">
        <v>1</v>
      </c>
      <c r="B204" s="338" t="s">
        <v>413</v>
      </c>
      <c r="C204" s="307" t="s">
        <v>10</v>
      </c>
      <c r="D204" s="339">
        <v>163</v>
      </c>
      <c r="E204" s="254">
        <f aca="true" t="shared" si="36" ref="E204:E212">D204</f>
        <v>163</v>
      </c>
      <c r="F204" s="255">
        <v>0</v>
      </c>
      <c r="G204" s="256">
        <f aca="true" t="shared" si="37" ref="G204:G219">D204-F204</f>
        <v>163</v>
      </c>
      <c r="H204" s="257">
        <f aca="true" t="shared" si="38" ref="H204:H210">SUM(K204:N204)</f>
        <v>163</v>
      </c>
      <c r="I204" s="257"/>
      <c r="J204" s="257"/>
      <c r="K204" s="256">
        <v>0</v>
      </c>
      <c r="L204" s="256"/>
      <c r="M204" s="255">
        <v>163</v>
      </c>
      <c r="N204" s="256"/>
      <c r="O204" s="112" t="s">
        <v>203</v>
      </c>
    </row>
    <row r="205" spans="1:15" ht="70.5" customHeight="1">
      <c r="A205" s="337">
        <v>2</v>
      </c>
      <c r="B205" s="338" t="s">
        <v>33</v>
      </c>
      <c r="C205" s="307" t="s">
        <v>10</v>
      </c>
      <c r="D205" s="339">
        <v>584</v>
      </c>
      <c r="E205" s="254">
        <f t="shared" si="36"/>
        <v>584</v>
      </c>
      <c r="F205" s="255">
        <v>0</v>
      </c>
      <c r="G205" s="256">
        <f t="shared" si="37"/>
        <v>584</v>
      </c>
      <c r="H205" s="257">
        <f t="shared" si="38"/>
        <v>584</v>
      </c>
      <c r="I205" s="257"/>
      <c r="J205" s="257"/>
      <c r="K205" s="256">
        <v>0</v>
      </c>
      <c r="L205" s="256"/>
      <c r="M205" s="255">
        <v>584</v>
      </c>
      <c r="N205" s="256"/>
      <c r="O205" s="112" t="s">
        <v>203</v>
      </c>
    </row>
    <row r="206" spans="1:15" ht="60">
      <c r="A206" s="337">
        <v>3</v>
      </c>
      <c r="B206" s="338" t="s">
        <v>34</v>
      </c>
      <c r="C206" s="307" t="s">
        <v>10</v>
      </c>
      <c r="D206" s="339">
        <v>714</v>
      </c>
      <c r="E206" s="254">
        <f t="shared" si="36"/>
        <v>714</v>
      </c>
      <c r="F206" s="255">
        <v>0</v>
      </c>
      <c r="G206" s="256">
        <f t="shared" si="37"/>
        <v>714</v>
      </c>
      <c r="H206" s="257">
        <f t="shared" si="38"/>
        <v>714</v>
      </c>
      <c r="I206" s="257"/>
      <c r="J206" s="257"/>
      <c r="K206" s="256">
        <v>0</v>
      </c>
      <c r="L206" s="256"/>
      <c r="M206" s="255">
        <v>714</v>
      </c>
      <c r="N206" s="256"/>
      <c r="O206" s="112" t="s">
        <v>203</v>
      </c>
    </row>
    <row r="207" spans="1:15" ht="69" customHeight="1">
      <c r="A207" s="337">
        <v>4</v>
      </c>
      <c r="B207" s="338" t="s">
        <v>35</v>
      </c>
      <c r="C207" s="307" t="s">
        <v>10</v>
      </c>
      <c r="D207" s="339">
        <v>747</v>
      </c>
      <c r="E207" s="254">
        <f t="shared" si="36"/>
        <v>747</v>
      </c>
      <c r="F207" s="255">
        <v>0</v>
      </c>
      <c r="G207" s="256">
        <f t="shared" si="37"/>
        <v>747</v>
      </c>
      <c r="H207" s="257">
        <f t="shared" si="38"/>
        <v>747</v>
      </c>
      <c r="I207" s="257"/>
      <c r="J207" s="257"/>
      <c r="K207" s="256">
        <v>0</v>
      </c>
      <c r="L207" s="256"/>
      <c r="M207" s="255">
        <v>747</v>
      </c>
      <c r="N207" s="256"/>
      <c r="O207" s="112" t="s">
        <v>203</v>
      </c>
    </row>
    <row r="208" spans="1:15" ht="111.75" customHeight="1">
      <c r="A208" s="337">
        <v>5</v>
      </c>
      <c r="B208" s="338" t="s">
        <v>36</v>
      </c>
      <c r="C208" s="307" t="s">
        <v>10</v>
      </c>
      <c r="D208" s="339">
        <v>680</v>
      </c>
      <c r="E208" s="254">
        <f t="shared" si="36"/>
        <v>680</v>
      </c>
      <c r="F208" s="255">
        <v>0</v>
      </c>
      <c r="G208" s="256">
        <f t="shared" si="37"/>
        <v>680</v>
      </c>
      <c r="H208" s="257">
        <f t="shared" si="38"/>
        <v>680</v>
      </c>
      <c r="I208" s="257"/>
      <c r="J208" s="257"/>
      <c r="K208" s="256">
        <v>0</v>
      </c>
      <c r="L208" s="256"/>
      <c r="M208" s="255">
        <v>680</v>
      </c>
      <c r="N208" s="256"/>
      <c r="O208" s="112" t="s">
        <v>203</v>
      </c>
    </row>
    <row r="209" spans="1:15" ht="81.75" customHeight="1">
      <c r="A209" s="337">
        <v>6</v>
      </c>
      <c r="B209" s="338" t="s">
        <v>37</v>
      </c>
      <c r="C209" s="307" t="s">
        <v>10</v>
      </c>
      <c r="D209" s="339">
        <v>923</v>
      </c>
      <c r="E209" s="254">
        <f t="shared" si="36"/>
        <v>923</v>
      </c>
      <c r="F209" s="255">
        <v>0</v>
      </c>
      <c r="G209" s="256">
        <f t="shared" si="37"/>
        <v>923</v>
      </c>
      <c r="H209" s="257">
        <f t="shared" si="38"/>
        <v>923</v>
      </c>
      <c r="I209" s="257"/>
      <c r="J209" s="257"/>
      <c r="K209" s="256">
        <v>0</v>
      </c>
      <c r="L209" s="256"/>
      <c r="M209" s="255">
        <v>923</v>
      </c>
      <c r="N209" s="256"/>
      <c r="O209" s="112" t="s">
        <v>203</v>
      </c>
    </row>
    <row r="210" spans="1:15" ht="157.5" customHeight="1">
      <c r="A210" s="337">
        <v>7</v>
      </c>
      <c r="B210" s="338" t="s">
        <v>43</v>
      </c>
      <c r="C210" s="307" t="s">
        <v>10</v>
      </c>
      <c r="D210" s="339">
        <v>1000</v>
      </c>
      <c r="E210" s="254">
        <f t="shared" si="36"/>
        <v>1000</v>
      </c>
      <c r="F210" s="255">
        <v>0</v>
      </c>
      <c r="G210" s="256">
        <f t="shared" si="37"/>
        <v>1000</v>
      </c>
      <c r="H210" s="257">
        <f t="shared" si="38"/>
        <v>1000</v>
      </c>
      <c r="I210" s="257"/>
      <c r="J210" s="257"/>
      <c r="K210" s="256">
        <v>0</v>
      </c>
      <c r="L210" s="256"/>
      <c r="M210" s="255">
        <v>1000</v>
      </c>
      <c r="N210" s="256"/>
      <c r="O210" s="112" t="s">
        <v>203</v>
      </c>
    </row>
    <row r="211" spans="1:15" ht="82.5" customHeight="1">
      <c r="A211" s="337">
        <v>8</v>
      </c>
      <c r="B211" s="340" t="s">
        <v>82</v>
      </c>
      <c r="C211" s="307" t="s">
        <v>52</v>
      </c>
      <c r="D211" s="254">
        <v>161</v>
      </c>
      <c r="E211" s="316">
        <f t="shared" si="36"/>
        <v>161</v>
      </c>
      <c r="F211" s="255">
        <v>0</v>
      </c>
      <c r="G211" s="256">
        <f t="shared" si="37"/>
        <v>161</v>
      </c>
      <c r="H211" s="257">
        <f>SUM(I211:N211)</f>
        <v>161</v>
      </c>
      <c r="I211" s="257"/>
      <c r="J211" s="341">
        <v>161</v>
      </c>
      <c r="K211" s="256"/>
      <c r="L211" s="256"/>
      <c r="M211" s="255">
        <v>0</v>
      </c>
      <c r="N211" s="256"/>
      <c r="O211" s="112" t="s">
        <v>203</v>
      </c>
    </row>
    <row r="212" spans="1:15" ht="105.75" customHeight="1">
      <c r="A212" s="337">
        <v>9</v>
      </c>
      <c r="B212" s="340" t="s">
        <v>336</v>
      </c>
      <c r="C212" s="307" t="s">
        <v>52</v>
      </c>
      <c r="D212" s="254">
        <f>72+300</f>
        <v>372</v>
      </c>
      <c r="E212" s="254">
        <f t="shared" si="36"/>
        <v>372</v>
      </c>
      <c r="F212" s="255">
        <f>72</f>
        <v>72</v>
      </c>
      <c r="G212" s="256">
        <f t="shared" si="37"/>
        <v>300</v>
      </c>
      <c r="H212" s="257">
        <f>SUM(K212:N212)</f>
        <v>300</v>
      </c>
      <c r="I212" s="257"/>
      <c r="J212" s="257"/>
      <c r="K212" s="256"/>
      <c r="L212" s="256"/>
      <c r="M212" s="255">
        <v>300</v>
      </c>
      <c r="N212" s="256"/>
      <c r="O212" s="112" t="s">
        <v>203</v>
      </c>
    </row>
    <row r="213" spans="1:15" ht="97.5" customHeight="1">
      <c r="A213" s="337">
        <v>10</v>
      </c>
      <c r="B213" s="340" t="s">
        <v>338</v>
      </c>
      <c r="C213" s="342" t="s">
        <v>52</v>
      </c>
      <c r="D213" s="254">
        <f>47+191+253+299-128+2415</f>
        <v>3077</v>
      </c>
      <c r="E213" s="254">
        <f aca="true" t="shared" si="39" ref="E213:E219">D213</f>
        <v>3077</v>
      </c>
      <c r="F213" s="255">
        <f>191+471</f>
        <v>662</v>
      </c>
      <c r="G213" s="256">
        <f t="shared" si="37"/>
        <v>2415</v>
      </c>
      <c r="H213" s="257">
        <f aca="true" t="shared" si="40" ref="H213:H219">SUM(K213:N213)</f>
        <v>2415</v>
      </c>
      <c r="I213" s="257"/>
      <c r="J213" s="257"/>
      <c r="K213" s="256"/>
      <c r="L213" s="256"/>
      <c r="M213" s="255">
        <v>2415</v>
      </c>
      <c r="N213" s="256"/>
      <c r="O213" s="112" t="s">
        <v>203</v>
      </c>
    </row>
    <row r="214" spans="1:15" ht="126.75" customHeight="1">
      <c r="A214" s="337">
        <v>11</v>
      </c>
      <c r="B214" s="340" t="s">
        <v>337</v>
      </c>
      <c r="C214" s="342" t="s">
        <v>52</v>
      </c>
      <c r="D214" s="254">
        <v>2100</v>
      </c>
      <c r="E214" s="254">
        <f t="shared" si="39"/>
        <v>2100</v>
      </c>
      <c r="F214" s="255">
        <v>0</v>
      </c>
      <c r="G214" s="256">
        <f t="shared" si="37"/>
        <v>2100</v>
      </c>
      <c r="H214" s="257">
        <f t="shared" si="40"/>
        <v>2100</v>
      </c>
      <c r="I214" s="257"/>
      <c r="J214" s="257"/>
      <c r="K214" s="256"/>
      <c r="L214" s="256"/>
      <c r="M214" s="255">
        <v>2100</v>
      </c>
      <c r="N214" s="256"/>
      <c r="O214" s="112" t="s">
        <v>203</v>
      </c>
    </row>
    <row r="215" spans="1:15" ht="111" customHeight="1">
      <c r="A215" s="337">
        <v>12</v>
      </c>
      <c r="B215" s="340" t="s">
        <v>342</v>
      </c>
      <c r="C215" s="342" t="s">
        <v>52</v>
      </c>
      <c r="D215" s="254">
        <v>500</v>
      </c>
      <c r="E215" s="254">
        <f t="shared" si="39"/>
        <v>500</v>
      </c>
      <c r="F215" s="255">
        <v>0</v>
      </c>
      <c r="G215" s="256">
        <f t="shared" si="37"/>
        <v>500</v>
      </c>
      <c r="H215" s="257">
        <f t="shared" si="40"/>
        <v>500</v>
      </c>
      <c r="I215" s="257"/>
      <c r="J215" s="257"/>
      <c r="K215" s="256"/>
      <c r="L215" s="256"/>
      <c r="M215" s="255">
        <v>500</v>
      </c>
      <c r="N215" s="256"/>
      <c r="O215" s="112" t="s">
        <v>203</v>
      </c>
    </row>
    <row r="216" spans="1:15" ht="106.5" customHeight="1">
      <c r="A216" s="337">
        <v>13</v>
      </c>
      <c r="B216" s="340" t="s">
        <v>341</v>
      </c>
      <c r="C216" s="342" t="s">
        <v>52</v>
      </c>
      <c r="D216" s="254">
        <v>3100</v>
      </c>
      <c r="E216" s="254">
        <f t="shared" si="39"/>
        <v>3100</v>
      </c>
      <c r="F216" s="255">
        <v>0</v>
      </c>
      <c r="G216" s="256">
        <f t="shared" si="37"/>
        <v>3100</v>
      </c>
      <c r="H216" s="257">
        <f t="shared" si="40"/>
        <v>3100</v>
      </c>
      <c r="I216" s="257"/>
      <c r="J216" s="257"/>
      <c r="K216" s="256"/>
      <c r="L216" s="256"/>
      <c r="M216" s="255">
        <v>3100</v>
      </c>
      <c r="N216" s="256"/>
      <c r="O216" s="112" t="s">
        <v>203</v>
      </c>
    </row>
    <row r="217" spans="1:15" ht="82.5" customHeight="1">
      <c r="A217" s="337">
        <v>14</v>
      </c>
      <c r="B217" s="253" t="s">
        <v>258</v>
      </c>
      <c r="C217" s="342" t="s">
        <v>52</v>
      </c>
      <c r="D217" s="254">
        <f>1274-92</f>
        <v>1182</v>
      </c>
      <c r="E217" s="254">
        <f t="shared" si="39"/>
        <v>1182</v>
      </c>
      <c r="F217" s="255">
        <f>174+832+17-1</f>
        <v>1022</v>
      </c>
      <c r="G217" s="256">
        <f t="shared" si="37"/>
        <v>160</v>
      </c>
      <c r="H217" s="257">
        <f t="shared" si="40"/>
        <v>160</v>
      </c>
      <c r="I217" s="257"/>
      <c r="J217" s="257"/>
      <c r="K217" s="256">
        <v>160</v>
      </c>
      <c r="L217" s="256"/>
      <c r="M217" s="255">
        <v>0</v>
      </c>
      <c r="N217" s="256"/>
      <c r="O217" s="112" t="s">
        <v>203</v>
      </c>
    </row>
    <row r="218" spans="1:15" ht="120">
      <c r="A218" s="337">
        <v>15</v>
      </c>
      <c r="B218" s="338" t="s">
        <v>381</v>
      </c>
      <c r="C218" s="342" t="s">
        <v>52</v>
      </c>
      <c r="D218" s="339">
        <v>500</v>
      </c>
      <c r="E218" s="254">
        <f>D218</f>
        <v>500</v>
      </c>
      <c r="F218" s="255">
        <v>0</v>
      </c>
      <c r="G218" s="256">
        <f t="shared" si="37"/>
        <v>500</v>
      </c>
      <c r="H218" s="257">
        <f>SUM(K218:N218)</f>
        <v>500</v>
      </c>
      <c r="I218" s="257"/>
      <c r="J218" s="257"/>
      <c r="K218" s="256">
        <v>0</v>
      </c>
      <c r="L218" s="256"/>
      <c r="M218" s="255">
        <v>500</v>
      </c>
      <c r="N218" s="256"/>
      <c r="O218" s="112" t="s">
        <v>203</v>
      </c>
    </row>
    <row r="219" spans="1:15" ht="90">
      <c r="A219" s="337">
        <v>16</v>
      </c>
      <c r="B219" s="338" t="s">
        <v>105</v>
      </c>
      <c r="C219" s="342" t="s">
        <v>52</v>
      </c>
      <c r="D219" s="339">
        <v>1</v>
      </c>
      <c r="E219" s="254">
        <f t="shared" si="39"/>
        <v>1</v>
      </c>
      <c r="F219" s="255">
        <v>0</v>
      </c>
      <c r="G219" s="256">
        <f t="shared" si="37"/>
        <v>1</v>
      </c>
      <c r="H219" s="257">
        <f t="shared" si="40"/>
        <v>1</v>
      </c>
      <c r="I219" s="257"/>
      <c r="J219" s="257"/>
      <c r="K219" s="256">
        <v>0</v>
      </c>
      <c r="L219" s="256"/>
      <c r="M219" s="255">
        <v>1</v>
      </c>
      <c r="N219" s="256"/>
      <c r="O219" s="112" t="s">
        <v>203</v>
      </c>
    </row>
    <row r="220" spans="1:15" ht="32.25" customHeight="1">
      <c r="A220" s="235"/>
      <c r="B220" s="107"/>
      <c r="C220" s="236" t="s">
        <v>187</v>
      </c>
      <c r="D220" s="237">
        <f aca="true" t="shared" si="41" ref="D220:N220">SUM(D204:D219)</f>
        <v>15804</v>
      </c>
      <c r="E220" s="237">
        <f t="shared" si="41"/>
        <v>15804</v>
      </c>
      <c r="F220" s="237">
        <f t="shared" si="41"/>
        <v>1756</v>
      </c>
      <c r="G220" s="237">
        <f t="shared" si="41"/>
        <v>14048</v>
      </c>
      <c r="H220" s="237">
        <f t="shared" si="41"/>
        <v>14048</v>
      </c>
      <c r="I220" s="237">
        <f t="shared" si="41"/>
        <v>0</v>
      </c>
      <c r="J220" s="237">
        <f t="shared" si="41"/>
        <v>161</v>
      </c>
      <c r="K220" s="237">
        <f t="shared" si="41"/>
        <v>160</v>
      </c>
      <c r="L220" s="237">
        <f t="shared" si="41"/>
        <v>0</v>
      </c>
      <c r="M220" s="237">
        <f t="shared" si="41"/>
        <v>13727</v>
      </c>
      <c r="N220" s="237">
        <f t="shared" si="41"/>
        <v>0</v>
      </c>
      <c r="O220" s="238"/>
    </row>
    <row r="221" spans="1:15" ht="13.5">
      <c r="A221" s="359"/>
      <c r="B221" s="360"/>
      <c r="C221" s="361"/>
      <c r="D221" s="362"/>
      <c r="E221" s="362"/>
      <c r="F221" s="362"/>
      <c r="G221" s="362"/>
      <c r="H221" s="362"/>
      <c r="I221" s="362"/>
      <c r="J221" s="362"/>
      <c r="K221" s="362"/>
      <c r="L221" s="362"/>
      <c r="M221" s="362"/>
      <c r="N221" s="362"/>
      <c r="O221" s="362"/>
    </row>
    <row r="222" spans="1:15" ht="15.75">
      <c r="A222" s="359"/>
      <c r="B222" s="363"/>
      <c r="D222" s="288" t="s">
        <v>303</v>
      </c>
      <c r="E222" s="288"/>
      <c r="G222" s="137"/>
      <c r="H222" s="137"/>
      <c r="I222" s="137"/>
      <c r="J222" s="137"/>
      <c r="K222" s="362"/>
      <c r="L222" s="362"/>
      <c r="M222" s="363"/>
      <c r="N222" s="362"/>
      <c r="O222" s="364"/>
    </row>
    <row r="223" spans="1:15" ht="15.75">
      <c r="A223" s="365"/>
      <c r="B223" s="210"/>
      <c r="C223" s="201" t="s">
        <v>393</v>
      </c>
      <c r="D223" s="220"/>
      <c r="E223" s="77"/>
      <c r="F223" s="31"/>
      <c r="G223" s="289" t="s">
        <v>305</v>
      </c>
      <c r="H223" s="77"/>
      <c r="I223" s="77"/>
      <c r="J223" s="77"/>
      <c r="K223" s="210"/>
      <c r="L223" s="284" t="s">
        <v>412</v>
      </c>
      <c r="M223" s="210"/>
      <c r="N223" s="220"/>
      <c r="O223" s="364"/>
    </row>
    <row r="224" spans="1:15" ht="15.75">
      <c r="A224" s="368"/>
      <c r="B224" s="211"/>
      <c r="C224" s="201" t="s">
        <v>392</v>
      </c>
      <c r="D224" s="202"/>
      <c r="E224" s="31"/>
      <c r="F224" s="77"/>
      <c r="G224" s="12" t="s">
        <v>410</v>
      </c>
      <c r="H224" s="31"/>
      <c r="I224" s="31"/>
      <c r="J224" s="31"/>
      <c r="K224" s="201" t="s">
        <v>296</v>
      </c>
      <c r="L224" s="212"/>
      <c r="M224" s="209"/>
      <c r="N224" s="202"/>
      <c r="O224" s="367"/>
    </row>
    <row r="225" spans="1:15" ht="15.75">
      <c r="A225" s="368"/>
      <c r="B225" s="234" t="s">
        <v>302</v>
      </c>
      <c r="C225" s="214"/>
      <c r="D225" s="31"/>
      <c r="E225" s="31"/>
      <c r="F225" s="15"/>
      <c r="G225" s="304" t="s">
        <v>406</v>
      </c>
      <c r="H225" s="31"/>
      <c r="I225" s="31"/>
      <c r="J225" s="31"/>
      <c r="K225" s="210"/>
      <c r="L225" s="201"/>
      <c r="M225" s="201" t="s">
        <v>297</v>
      </c>
      <c r="N225" s="202"/>
      <c r="O225" s="367"/>
    </row>
    <row r="226" spans="1:15" ht="15.75">
      <c r="A226" s="370"/>
      <c r="B226" s="234" t="s">
        <v>313</v>
      </c>
      <c r="C226" s="202"/>
      <c r="D226" s="202"/>
      <c r="E226" s="202"/>
      <c r="F226" s="371"/>
      <c r="H226" s="367"/>
      <c r="I226" s="367"/>
      <c r="J226" s="367"/>
      <c r="K226" s="210"/>
      <c r="L226" s="210"/>
      <c r="M226" s="201" t="s">
        <v>298</v>
      </c>
      <c r="N226" s="284"/>
      <c r="O226" s="372" t="s">
        <v>416</v>
      </c>
    </row>
    <row r="227" spans="1:15" ht="15.75">
      <c r="A227" s="370"/>
      <c r="B227" s="366"/>
      <c r="C227" s="366"/>
      <c r="D227" s="369"/>
      <c r="E227" s="369"/>
      <c r="F227" s="366"/>
      <c r="G227" s="372"/>
      <c r="H227" s="366"/>
      <c r="I227" s="366"/>
      <c r="J227" s="366"/>
      <c r="K227" s="371"/>
      <c r="L227" s="367"/>
      <c r="M227" s="366"/>
      <c r="N227" s="366"/>
      <c r="O227" s="372"/>
    </row>
    <row r="228" spans="1:15" ht="15">
      <c r="A228" s="214"/>
      <c r="B228" s="214"/>
      <c r="C228" s="214"/>
      <c r="D228" s="214"/>
      <c r="E228" s="214"/>
      <c r="F228" s="214"/>
      <c r="G228" s="15"/>
      <c r="H228" s="214"/>
      <c r="I228" s="214"/>
      <c r="J228" s="214"/>
      <c r="K228" s="214"/>
      <c r="L228" s="214"/>
      <c r="M228" s="214"/>
      <c r="N228" s="215"/>
      <c r="O228" s="31"/>
    </row>
    <row r="229" spans="3:15" ht="13.5">
      <c r="C229" s="12"/>
      <c r="L229" s="116"/>
      <c r="M229" s="15"/>
      <c r="O229" s="12"/>
    </row>
    <row r="230" spans="2:15" ht="13.5">
      <c r="B230" s="218"/>
      <c r="C230" s="12"/>
      <c r="L230" s="116"/>
      <c r="O230" s="12"/>
    </row>
    <row r="231" spans="1:15" ht="13.5">
      <c r="A231" s="15"/>
      <c r="C231" s="15"/>
      <c r="D231" s="15"/>
      <c r="E231" s="15"/>
      <c r="F231" s="15"/>
      <c r="G231" s="15"/>
      <c r="H231" s="15"/>
      <c r="I231" s="15"/>
      <c r="J231" s="15"/>
      <c r="K231" s="116"/>
      <c r="L231" s="116"/>
      <c r="M231" s="15"/>
      <c r="N231" s="15"/>
      <c r="O231" s="15"/>
    </row>
    <row r="232" spans="1:15" ht="13.5">
      <c r="A232" s="15"/>
      <c r="C232" s="15"/>
      <c r="D232" s="15"/>
      <c r="E232" s="15"/>
      <c r="F232" s="15"/>
      <c r="G232" s="15"/>
      <c r="H232" s="15"/>
      <c r="I232" s="15"/>
      <c r="J232" s="15"/>
      <c r="K232" s="116"/>
      <c r="L232" s="116"/>
      <c r="M232" s="15"/>
      <c r="N232" s="15"/>
      <c r="O232" s="15"/>
    </row>
    <row r="233" spans="1:15" ht="13.5">
      <c r="A233" s="15"/>
      <c r="B233" s="15"/>
      <c r="C233" s="15"/>
      <c r="D233" s="15"/>
      <c r="E233" s="15"/>
      <c r="F233" s="15"/>
      <c r="G233" s="15"/>
      <c r="H233" s="15"/>
      <c r="I233" s="15"/>
      <c r="J233" s="15"/>
      <c r="K233" s="116"/>
      <c r="L233" s="116"/>
      <c r="M233" s="15"/>
      <c r="N233" s="15"/>
      <c r="O233" s="15"/>
    </row>
  </sheetData>
  <sheetProtection/>
  <mergeCells count="2">
    <mergeCell ref="A6:N6"/>
    <mergeCell ref="A77:B77"/>
  </mergeCells>
  <printOptions/>
  <pageMargins left="0.5118110236220472" right="0.3937007874015748" top="0.3937007874015748" bottom="0.7874015748031497" header="0.31496062992125984" footer="0.7874015748031497"/>
  <pageSetup horizontalDpi="300" verticalDpi="300" orientation="landscape" paperSize="9" r:id="rId2"/>
  <headerFooter alignWithMargins="0">
    <oddFooter xml:space="preserve">&amp;C&amp;8 Pagina &amp;P din &amp;N&amp;R&amp;8(L1) HCL nr. din
Studii și proiecte </oddFooter>
  </headerFooter>
  <drawing r:id="rId1"/>
</worksheet>
</file>

<file path=xl/worksheets/sheet4.xml><?xml version="1.0" encoding="utf-8"?>
<worksheet xmlns="http://schemas.openxmlformats.org/spreadsheetml/2006/main" xmlns:r="http://schemas.openxmlformats.org/officeDocument/2006/relationships">
  <sheetPr>
    <tabColor indexed="11"/>
  </sheetPr>
  <dimension ref="A1:P171"/>
  <sheetViews>
    <sheetView zoomScale="115" zoomScaleNormal="115" zoomScaleSheetLayoutView="100" zoomScalePageLayoutView="0" workbookViewId="0" topLeftCell="A1">
      <selection activeCell="O160" sqref="A1:O160"/>
    </sheetView>
  </sheetViews>
  <sheetFormatPr defaultColWidth="9.140625" defaultRowHeight="12.75"/>
  <cols>
    <col min="1" max="1" width="3.8515625" style="15" customWidth="1"/>
    <col min="2" max="2" width="37.57421875" style="15" customWidth="1"/>
    <col min="3" max="3" width="11.28125" style="15" customWidth="1"/>
    <col min="4" max="5" width="8.421875" style="15" customWidth="1"/>
    <col min="6" max="6" width="9.00390625" style="15" customWidth="1"/>
    <col min="7" max="7" width="7.140625" style="15" customWidth="1"/>
    <col min="8" max="8" width="8.57421875" style="116" customWidth="1"/>
    <col min="9" max="10" width="5.7109375" style="116" customWidth="1"/>
    <col min="11" max="11" width="8.7109375" style="15" customWidth="1"/>
    <col min="12" max="12" width="7.57421875" style="15" customWidth="1"/>
    <col min="13" max="13" width="6.421875" style="15" customWidth="1"/>
    <col min="14" max="14" width="5.7109375" style="15" customWidth="1"/>
    <col min="15" max="15" width="5.7109375" style="120" customWidth="1"/>
    <col min="16" max="16384" width="9.140625" style="15" customWidth="1"/>
  </cols>
  <sheetData>
    <row r="1" spans="5:15" ht="12.75">
      <c r="E1" s="211"/>
      <c r="F1" s="210"/>
      <c r="G1" s="209"/>
      <c r="H1" s="291"/>
      <c r="I1" s="305"/>
      <c r="J1" s="305"/>
      <c r="K1" s="291"/>
      <c r="L1" s="379"/>
      <c r="M1" s="117"/>
      <c r="N1" s="117" t="s">
        <v>248</v>
      </c>
      <c r="O1" s="118"/>
    </row>
    <row r="2" spans="2:13" ht="14.25">
      <c r="B2" s="119"/>
      <c r="E2" s="211"/>
      <c r="F2" s="291" t="s">
        <v>193</v>
      </c>
      <c r="G2" s="291" t="s">
        <v>244</v>
      </c>
      <c r="H2" s="291"/>
      <c r="I2" s="291"/>
      <c r="J2" s="291"/>
      <c r="K2" s="291" t="s">
        <v>194</v>
      </c>
      <c r="L2" s="291"/>
      <c r="M2" s="121"/>
    </row>
    <row r="3" spans="1:13" ht="14.25">
      <c r="A3" s="18"/>
      <c r="B3" s="116"/>
      <c r="E3" s="211"/>
      <c r="F3" s="291" t="s">
        <v>143</v>
      </c>
      <c r="G3" s="209"/>
      <c r="H3" s="291"/>
      <c r="I3" s="291"/>
      <c r="J3" s="291"/>
      <c r="K3" s="291" t="s">
        <v>257</v>
      </c>
      <c r="L3" s="291"/>
      <c r="M3" s="182"/>
    </row>
    <row r="4" spans="5:13" ht="14.25">
      <c r="E4" s="301"/>
      <c r="F4" s="291" t="s">
        <v>12</v>
      </c>
      <c r="G4" s="201"/>
      <c r="H4" s="201"/>
      <c r="I4" s="201"/>
      <c r="J4" s="202"/>
      <c r="K4" s="291" t="s">
        <v>312</v>
      </c>
      <c r="L4" s="291"/>
      <c r="M4" s="182"/>
    </row>
    <row r="5" spans="5:13" ht="14.25">
      <c r="E5" s="211"/>
      <c r="F5" s="303" t="s">
        <v>144</v>
      </c>
      <c r="G5" s="211"/>
      <c r="H5" s="201"/>
      <c r="I5" s="211"/>
      <c r="J5" s="212"/>
      <c r="K5" s="210"/>
      <c r="L5" s="302"/>
      <c r="M5" s="182"/>
    </row>
    <row r="6" spans="2:13" ht="12.75" customHeight="1">
      <c r="B6" s="15" t="s">
        <v>461</v>
      </c>
      <c r="E6" s="211"/>
      <c r="F6" s="211"/>
      <c r="G6" s="211"/>
      <c r="H6" s="201"/>
      <c r="I6" s="211"/>
      <c r="J6" s="212"/>
      <c r="K6" s="211"/>
      <c r="L6" s="302"/>
      <c r="M6" s="182"/>
    </row>
    <row r="7" spans="8:13" ht="29.25" customHeight="1">
      <c r="H7" s="182"/>
      <c r="I7" s="15"/>
      <c r="L7" s="121"/>
      <c r="M7" s="182"/>
    </row>
    <row r="8" spans="1:15" ht="44.25" customHeight="1">
      <c r="A8" s="349" t="s">
        <v>460</v>
      </c>
      <c r="B8" s="349"/>
      <c r="C8" s="349"/>
      <c r="D8" s="349"/>
      <c r="E8" s="349"/>
      <c r="F8" s="349"/>
      <c r="G8" s="349"/>
      <c r="H8" s="349"/>
      <c r="I8" s="349"/>
      <c r="J8" s="349"/>
      <c r="K8" s="349"/>
      <c r="L8" s="349"/>
      <c r="M8" s="349"/>
      <c r="N8" s="349"/>
      <c r="O8" s="349"/>
    </row>
    <row r="9" spans="1:15" ht="10.5" customHeight="1">
      <c r="A9" s="389"/>
      <c r="B9" s="389"/>
      <c r="C9" s="389"/>
      <c r="D9" s="389"/>
      <c r="E9" s="389"/>
      <c r="F9" s="389"/>
      <c r="G9" s="389"/>
      <c r="H9" s="389"/>
      <c r="I9" s="389"/>
      <c r="J9" s="389"/>
      <c r="K9" s="389"/>
      <c r="L9" s="389"/>
      <c r="M9" s="389"/>
      <c r="N9" s="389"/>
      <c r="O9" s="389"/>
    </row>
    <row r="10" spans="1:15" ht="58.5" customHeight="1" thickBot="1">
      <c r="A10" s="106" t="s">
        <v>233</v>
      </c>
      <c r="B10" s="13"/>
      <c r="C10" s="122"/>
      <c r="D10" s="389"/>
      <c r="E10" s="389"/>
      <c r="F10" s="389"/>
      <c r="G10" s="389"/>
      <c r="H10" s="389"/>
      <c r="I10" s="389"/>
      <c r="J10" s="389"/>
      <c r="K10" s="389"/>
      <c r="L10" s="389"/>
      <c r="M10" s="389"/>
      <c r="N10" s="124" t="s">
        <v>185</v>
      </c>
      <c r="O10" s="123"/>
    </row>
    <row r="11" spans="1:15" ht="60.75" thickBot="1">
      <c r="A11" s="293" t="s">
        <v>186</v>
      </c>
      <c r="B11" s="294" t="s">
        <v>188</v>
      </c>
      <c r="C11" s="295" t="s">
        <v>223</v>
      </c>
      <c r="D11" s="294" t="s">
        <v>457</v>
      </c>
      <c r="E11" s="296" t="s">
        <v>220</v>
      </c>
      <c r="F11" s="297" t="s">
        <v>458</v>
      </c>
      <c r="G11" s="297" t="s">
        <v>278</v>
      </c>
      <c r="H11" s="297" t="s">
        <v>459</v>
      </c>
      <c r="I11" s="125" t="s">
        <v>222</v>
      </c>
      <c r="J11" s="126" t="s">
        <v>221</v>
      </c>
      <c r="K11" s="298" t="s">
        <v>254</v>
      </c>
      <c r="L11" s="297" t="s">
        <v>432</v>
      </c>
      <c r="M11" s="297" t="s">
        <v>192</v>
      </c>
      <c r="N11" s="299" t="s">
        <v>204</v>
      </c>
      <c r="O11" s="123"/>
    </row>
    <row r="12" spans="1:15" ht="53.25" customHeight="1">
      <c r="A12" s="127">
        <v>1</v>
      </c>
      <c r="B12" s="186" t="s">
        <v>323</v>
      </c>
      <c r="C12" s="315" t="s">
        <v>523</v>
      </c>
      <c r="D12" s="188">
        <v>615</v>
      </c>
      <c r="E12" s="188">
        <f aca="true" t="shared" si="0" ref="E12:E19">D12</f>
        <v>615</v>
      </c>
      <c r="F12" s="188">
        <v>0</v>
      </c>
      <c r="G12" s="186">
        <f aca="true" t="shared" si="1" ref="G12:G24">E12-F12</f>
        <v>615</v>
      </c>
      <c r="H12" s="139">
        <f aca="true" t="shared" si="2" ref="H12:H19">SUM(I12:N12)</f>
        <v>615</v>
      </c>
      <c r="I12" s="188"/>
      <c r="J12" s="188"/>
      <c r="K12" s="188">
        <v>615</v>
      </c>
      <c r="L12" s="188"/>
      <c r="M12" s="188">
        <v>0</v>
      </c>
      <c r="N12" s="188"/>
      <c r="O12" s="140" t="s">
        <v>468</v>
      </c>
    </row>
    <row r="13" spans="1:15" ht="56.25" customHeight="1">
      <c r="A13" s="127">
        <v>2</v>
      </c>
      <c r="B13" s="186" t="s">
        <v>322</v>
      </c>
      <c r="C13" s="315" t="s">
        <v>523</v>
      </c>
      <c r="D13" s="188">
        <f>246+329</f>
        <v>575</v>
      </c>
      <c r="E13" s="188">
        <f t="shared" si="0"/>
        <v>575</v>
      </c>
      <c r="F13" s="188">
        <v>246</v>
      </c>
      <c r="G13" s="186">
        <f t="shared" si="1"/>
        <v>329</v>
      </c>
      <c r="H13" s="139">
        <f t="shared" si="2"/>
        <v>329</v>
      </c>
      <c r="I13" s="188"/>
      <c r="J13" s="188"/>
      <c r="K13" s="188">
        <v>329</v>
      </c>
      <c r="L13" s="188"/>
      <c r="M13" s="188">
        <v>0</v>
      </c>
      <c r="N13" s="188"/>
      <c r="O13" s="140" t="s">
        <v>468</v>
      </c>
    </row>
    <row r="14" spans="1:15" ht="71.25" customHeight="1">
      <c r="A14" s="127">
        <v>3</v>
      </c>
      <c r="B14" s="186" t="s">
        <v>515</v>
      </c>
      <c r="C14" s="315" t="s">
        <v>523</v>
      </c>
      <c r="D14" s="188">
        <v>271</v>
      </c>
      <c r="E14" s="188">
        <f>D14</f>
        <v>271</v>
      </c>
      <c r="F14" s="188">
        <v>0</v>
      </c>
      <c r="G14" s="186">
        <f t="shared" si="1"/>
        <v>271</v>
      </c>
      <c r="H14" s="139">
        <f>SUM(I14:N14)</f>
        <v>271</v>
      </c>
      <c r="I14" s="188"/>
      <c r="J14" s="188"/>
      <c r="K14" s="188">
        <v>271</v>
      </c>
      <c r="L14" s="188"/>
      <c r="M14" s="188">
        <v>0</v>
      </c>
      <c r="N14" s="188"/>
      <c r="O14" s="140" t="s">
        <v>379</v>
      </c>
    </row>
    <row r="15" spans="1:15" ht="102">
      <c r="A15" s="127">
        <v>4</v>
      </c>
      <c r="B15" s="186" t="s">
        <v>516</v>
      </c>
      <c r="C15" s="315" t="s">
        <v>523</v>
      </c>
      <c r="D15" s="188">
        <v>1364</v>
      </c>
      <c r="E15" s="188">
        <f>D15</f>
        <v>1364</v>
      </c>
      <c r="F15" s="188">
        <v>0</v>
      </c>
      <c r="G15" s="186">
        <f t="shared" si="1"/>
        <v>1364</v>
      </c>
      <c r="H15" s="139">
        <f>SUM(I15:N15)</f>
        <v>1364</v>
      </c>
      <c r="I15" s="188"/>
      <c r="J15" s="188"/>
      <c r="K15" s="188">
        <v>1364</v>
      </c>
      <c r="L15" s="188"/>
      <c r="M15" s="188">
        <v>0</v>
      </c>
      <c r="N15" s="188"/>
      <c r="O15" s="140" t="s">
        <v>379</v>
      </c>
    </row>
    <row r="16" spans="1:15" ht="60">
      <c r="A16" s="127">
        <v>5</v>
      </c>
      <c r="B16" s="186" t="s">
        <v>514</v>
      </c>
      <c r="C16" s="315" t="s">
        <v>523</v>
      </c>
      <c r="D16" s="129">
        <v>6544</v>
      </c>
      <c r="E16" s="129">
        <f t="shared" si="0"/>
        <v>6544</v>
      </c>
      <c r="F16" s="129">
        <v>0</v>
      </c>
      <c r="G16" s="129">
        <f t="shared" si="1"/>
        <v>6544</v>
      </c>
      <c r="H16" s="130">
        <f t="shared" si="2"/>
        <v>6544</v>
      </c>
      <c r="I16" s="131"/>
      <c r="J16" s="131"/>
      <c r="K16" s="328"/>
      <c r="L16" s="329"/>
      <c r="M16" s="330">
        <v>6544</v>
      </c>
      <c r="N16" s="328"/>
      <c r="O16" s="132" t="s">
        <v>202</v>
      </c>
    </row>
    <row r="17" spans="1:15" ht="48.75" customHeight="1">
      <c r="A17" s="127">
        <v>6</v>
      </c>
      <c r="B17" s="186" t="s">
        <v>106</v>
      </c>
      <c r="C17" s="315" t="s">
        <v>523</v>
      </c>
      <c r="D17" s="129">
        <v>1786</v>
      </c>
      <c r="E17" s="129">
        <f>D17</f>
        <v>1786</v>
      </c>
      <c r="F17" s="129">
        <v>0</v>
      </c>
      <c r="G17" s="129">
        <f t="shared" si="1"/>
        <v>1786</v>
      </c>
      <c r="H17" s="130">
        <f>SUM(I17:N17)</f>
        <v>1786</v>
      </c>
      <c r="I17" s="131"/>
      <c r="J17" s="131"/>
      <c r="K17" s="328"/>
      <c r="L17" s="329"/>
      <c r="M17" s="330">
        <v>1786</v>
      </c>
      <c r="N17" s="328"/>
      <c r="O17" s="132" t="s">
        <v>202</v>
      </c>
    </row>
    <row r="18" spans="1:15" ht="48" customHeight="1">
      <c r="A18" s="127">
        <v>7</v>
      </c>
      <c r="B18" s="186" t="s">
        <v>324</v>
      </c>
      <c r="C18" s="315" t="s">
        <v>523</v>
      </c>
      <c r="D18" s="129">
        <v>25</v>
      </c>
      <c r="E18" s="129">
        <f>D18</f>
        <v>25</v>
      </c>
      <c r="F18" s="129">
        <v>0</v>
      </c>
      <c r="G18" s="129">
        <f t="shared" si="1"/>
        <v>25</v>
      </c>
      <c r="H18" s="130">
        <f>SUM(I18:N18)</f>
        <v>25</v>
      </c>
      <c r="I18" s="131"/>
      <c r="J18" s="131"/>
      <c r="K18" s="328"/>
      <c r="L18" s="329"/>
      <c r="M18" s="330">
        <v>25</v>
      </c>
      <c r="N18" s="328"/>
      <c r="O18" s="132" t="s">
        <v>468</v>
      </c>
    </row>
    <row r="19" spans="1:15" ht="45" customHeight="1">
      <c r="A19" s="127">
        <v>8</v>
      </c>
      <c r="B19" s="186" t="s">
        <v>107</v>
      </c>
      <c r="C19" s="315" t="s">
        <v>523</v>
      </c>
      <c r="D19" s="129">
        <v>325</v>
      </c>
      <c r="E19" s="129">
        <f t="shared" si="0"/>
        <v>325</v>
      </c>
      <c r="F19" s="129">
        <v>0</v>
      </c>
      <c r="G19" s="129">
        <f t="shared" si="1"/>
        <v>325</v>
      </c>
      <c r="H19" s="130">
        <f t="shared" si="2"/>
        <v>325</v>
      </c>
      <c r="I19" s="131"/>
      <c r="J19" s="131"/>
      <c r="K19" s="328"/>
      <c r="L19" s="329"/>
      <c r="M19" s="330">
        <v>325</v>
      </c>
      <c r="N19" s="328"/>
      <c r="O19" s="132" t="s">
        <v>279</v>
      </c>
    </row>
    <row r="20" spans="1:15" ht="60">
      <c r="A20" s="127">
        <v>9</v>
      </c>
      <c r="B20" s="187" t="s">
        <v>517</v>
      </c>
      <c r="C20" s="315" t="s">
        <v>523</v>
      </c>
      <c r="D20" s="129">
        <v>119</v>
      </c>
      <c r="E20" s="129">
        <f>D20</f>
        <v>119</v>
      </c>
      <c r="F20" s="129">
        <v>0</v>
      </c>
      <c r="G20" s="129">
        <f t="shared" si="1"/>
        <v>119</v>
      </c>
      <c r="H20" s="130">
        <f>SUM(J20:N20)</f>
        <v>119</v>
      </c>
      <c r="I20" s="131"/>
      <c r="J20" s="131"/>
      <c r="K20" s="131">
        <v>0</v>
      </c>
      <c r="L20" s="156"/>
      <c r="M20" s="131">
        <v>119</v>
      </c>
      <c r="N20" s="131"/>
      <c r="O20" s="132" t="s">
        <v>203</v>
      </c>
    </row>
    <row r="21" spans="1:15" ht="60">
      <c r="A21" s="127">
        <v>10</v>
      </c>
      <c r="B21" s="187" t="s">
        <v>522</v>
      </c>
      <c r="C21" s="315" t="s">
        <v>523</v>
      </c>
      <c r="D21" s="129">
        <v>9</v>
      </c>
      <c r="E21" s="129">
        <f>D21</f>
        <v>9</v>
      </c>
      <c r="F21" s="129">
        <v>0</v>
      </c>
      <c r="G21" s="129">
        <f t="shared" si="1"/>
        <v>9</v>
      </c>
      <c r="H21" s="130">
        <f>SUM(J21:N21)</f>
        <v>9</v>
      </c>
      <c r="I21" s="131"/>
      <c r="J21" s="131"/>
      <c r="K21" s="131">
        <v>0</v>
      </c>
      <c r="L21" s="156"/>
      <c r="M21" s="131">
        <v>9</v>
      </c>
      <c r="N21" s="131"/>
      <c r="O21" s="132" t="s">
        <v>203</v>
      </c>
    </row>
    <row r="22" spans="1:15" ht="60">
      <c r="A22" s="127">
        <v>11</v>
      </c>
      <c r="B22" s="187" t="s">
        <v>520</v>
      </c>
      <c r="C22" s="315" t="s">
        <v>523</v>
      </c>
      <c r="D22" s="129">
        <v>119</v>
      </c>
      <c r="E22" s="129">
        <f>D22</f>
        <v>119</v>
      </c>
      <c r="F22" s="129">
        <v>0</v>
      </c>
      <c r="G22" s="129">
        <f t="shared" si="1"/>
        <v>119</v>
      </c>
      <c r="H22" s="130">
        <f>SUM(J22:N22)</f>
        <v>119</v>
      </c>
      <c r="I22" s="131"/>
      <c r="J22" s="131"/>
      <c r="K22" s="131">
        <v>0</v>
      </c>
      <c r="L22" s="156"/>
      <c r="M22" s="131">
        <v>119</v>
      </c>
      <c r="N22" s="131"/>
      <c r="O22" s="132" t="s">
        <v>203</v>
      </c>
    </row>
    <row r="23" spans="1:15" ht="60">
      <c r="A23" s="127">
        <v>12</v>
      </c>
      <c r="B23" s="187" t="s">
        <v>521</v>
      </c>
      <c r="C23" s="315" t="s">
        <v>523</v>
      </c>
      <c r="D23" s="129">
        <v>40</v>
      </c>
      <c r="E23" s="129">
        <f>D23</f>
        <v>40</v>
      </c>
      <c r="F23" s="129">
        <v>0</v>
      </c>
      <c r="G23" s="129">
        <f t="shared" si="1"/>
        <v>40</v>
      </c>
      <c r="H23" s="130">
        <f>SUM(J23:N23)</f>
        <v>40</v>
      </c>
      <c r="I23" s="131"/>
      <c r="J23" s="131"/>
      <c r="K23" s="131">
        <v>0</v>
      </c>
      <c r="L23" s="156"/>
      <c r="M23" s="131">
        <v>40</v>
      </c>
      <c r="N23" s="131"/>
      <c r="O23" s="132" t="s">
        <v>203</v>
      </c>
    </row>
    <row r="24" spans="1:15" ht="60">
      <c r="A24" s="127">
        <v>13</v>
      </c>
      <c r="B24" s="187" t="s">
        <v>519</v>
      </c>
      <c r="C24" s="315" t="s">
        <v>523</v>
      </c>
      <c r="D24" s="129">
        <v>24</v>
      </c>
      <c r="E24" s="129">
        <f>D24</f>
        <v>24</v>
      </c>
      <c r="F24" s="129">
        <v>0</v>
      </c>
      <c r="G24" s="129">
        <f t="shared" si="1"/>
        <v>24</v>
      </c>
      <c r="H24" s="130">
        <f>SUM(J24:N24)</f>
        <v>24</v>
      </c>
      <c r="I24" s="131"/>
      <c r="J24" s="131"/>
      <c r="K24" s="131">
        <v>0</v>
      </c>
      <c r="L24" s="156"/>
      <c r="M24" s="131">
        <v>24</v>
      </c>
      <c r="N24" s="131"/>
      <c r="O24" s="132" t="s">
        <v>203</v>
      </c>
    </row>
    <row r="25" spans="1:15" ht="33" customHeight="1">
      <c r="A25" s="133"/>
      <c r="B25" s="134"/>
      <c r="C25" s="133" t="s">
        <v>187</v>
      </c>
      <c r="D25" s="135">
        <f>SUM(D12:D24)</f>
        <v>11816</v>
      </c>
      <c r="E25" s="135">
        <f aca="true" t="shared" si="3" ref="E25:N25">SUM(E12:E24)</f>
        <v>11816</v>
      </c>
      <c r="F25" s="135">
        <f t="shared" si="3"/>
        <v>246</v>
      </c>
      <c r="G25" s="135">
        <f t="shared" si="3"/>
        <v>11570</v>
      </c>
      <c r="H25" s="135">
        <f t="shared" si="3"/>
        <v>11570</v>
      </c>
      <c r="I25" s="135">
        <f t="shared" si="3"/>
        <v>0</v>
      </c>
      <c r="J25" s="135">
        <f t="shared" si="3"/>
        <v>0</v>
      </c>
      <c r="K25" s="135">
        <f t="shared" si="3"/>
        <v>2579</v>
      </c>
      <c r="L25" s="135">
        <f t="shared" si="3"/>
        <v>0</v>
      </c>
      <c r="M25" s="135">
        <f t="shared" si="3"/>
        <v>8991</v>
      </c>
      <c r="N25" s="135">
        <f t="shared" si="3"/>
        <v>0</v>
      </c>
      <c r="O25" s="136"/>
    </row>
    <row r="26" spans="1:15" ht="21" customHeight="1">
      <c r="A26" s="133"/>
      <c r="B26" s="134"/>
      <c r="C26" s="133"/>
      <c r="D26" s="137"/>
      <c r="E26" s="137"/>
      <c r="F26" s="137"/>
      <c r="G26" s="137"/>
      <c r="H26" s="137"/>
      <c r="I26" s="137"/>
      <c r="J26" s="137"/>
      <c r="K26" s="137"/>
      <c r="L26" s="137"/>
      <c r="M26" s="137"/>
      <c r="N26" s="137"/>
      <c r="O26" s="136"/>
    </row>
    <row r="27" spans="1:15" ht="21" customHeight="1">
      <c r="A27" s="133"/>
      <c r="B27" s="134"/>
      <c r="C27" s="133"/>
      <c r="D27" s="137"/>
      <c r="E27" s="137"/>
      <c r="F27" s="137"/>
      <c r="G27" s="137"/>
      <c r="H27" s="137"/>
      <c r="I27" s="137"/>
      <c r="J27" s="137"/>
      <c r="K27" s="137"/>
      <c r="L27" s="137"/>
      <c r="M27" s="137"/>
      <c r="N27" s="137"/>
      <c r="O27" s="136"/>
    </row>
    <row r="28" spans="1:15" ht="30.75" customHeight="1">
      <c r="A28" s="133"/>
      <c r="B28" s="134"/>
      <c r="C28" s="133"/>
      <c r="D28" s="137"/>
      <c r="E28" s="137"/>
      <c r="F28" s="137"/>
      <c r="G28" s="137"/>
      <c r="H28" s="137"/>
      <c r="I28" s="137"/>
      <c r="J28" s="137"/>
      <c r="K28" s="137"/>
      <c r="L28" s="137"/>
      <c r="M28" s="137"/>
      <c r="N28" s="137"/>
      <c r="O28" s="136"/>
    </row>
    <row r="29" spans="1:15" ht="30.75" customHeight="1">
      <c r="A29" s="133"/>
      <c r="B29" s="134"/>
      <c r="C29" s="133"/>
      <c r="D29" s="137"/>
      <c r="E29" s="137"/>
      <c r="F29" s="137"/>
      <c r="G29" s="137"/>
      <c r="H29" s="137"/>
      <c r="I29" s="137"/>
      <c r="J29" s="137"/>
      <c r="K29" s="137"/>
      <c r="L29" s="137"/>
      <c r="M29" s="137"/>
      <c r="N29" s="137"/>
      <c r="O29" s="136"/>
    </row>
    <row r="30" spans="1:15" ht="30" customHeight="1" thickBot="1">
      <c r="A30" s="133" t="s">
        <v>301</v>
      </c>
      <c r="B30" s="134"/>
      <c r="C30" s="133"/>
      <c r="D30" s="137"/>
      <c r="E30" s="137"/>
      <c r="F30" s="137"/>
      <c r="G30" s="137"/>
      <c r="H30" s="137"/>
      <c r="I30" s="137"/>
      <c r="J30" s="137"/>
      <c r="K30" s="137"/>
      <c r="L30" s="137"/>
      <c r="M30" s="137"/>
      <c r="N30" s="124" t="s">
        <v>185</v>
      </c>
      <c r="O30" s="136"/>
    </row>
    <row r="31" spans="1:15" ht="57" customHeight="1" thickBot="1">
      <c r="A31" s="293" t="s">
        <v>186</v>
      </c>
      <c r="B31" s="294" t="s">
        <v>188</v>
      </c>
      <c r="C31" s="295" t="s">
        <v>223</v>
      </c>
      <c r="D31" s="294" t="s">
        <v>457</v>
      </c>
      <c r="E31" s="296" t="s">
        <v>220</v>
      </c>
      <c r="F31" s="297" t="s">
        <v>458</v>
      </c>
      <c r="G31" s="297" t="s">
        <v>278</v>
      </c>
      <c r="H31" s="297" t="s">
        <v>459</v>
      </c>
      <c r="I31" s="125" t="s">
        <v>222</v>
      </c>
      <c r="J31" s="126" t="s">
        <v>221</v>
      </c>
      <c r="K31" s="298" t="s">
        <v>254</v>
      </c>
      <c r="L31" s="297" t="s">
        <v>432</v>
      </c>
      <c r="M31" s="297" t="s">
        <v>192</v>
      </c>
      <c r="N31" s="299" t="s">
        <v>204</v>
      </c>
      <c r="O31" s="123"/>
    </row>
    <row r="32" spans="1:15" ht="53.25" customHeight="1">
      <c r="A32" s="127">
        <v>1</v>
      </c>
      <c r="B32" s="186" t="s">
        <v>321</v>
      </c>
      <c r="C32" s="307" t="s">
        <v>511</v>
      </c>
      <c r="D32" s="129">
        <v>110</v>
      </c>
      <c r="E32" s="129">
        <f aca="true" t="shared" si="4" ref="E32:E37">D32</f>
        <v>110</v>
      </c>
      <c r="F32" s="129">
        <v>0</v>
      </c>
      <c r="G32" s="129">
        <f aca="true" t="shared" si="5" ref="G32:G37">E32-F32</f>
        <v>110</v>
      </c>
      <c r="H32" s="130">
        <f aca="true" t="shared" si="6" ref="H32:H37">SUM(I32:N32)</f>
        <v>110</v>
      </c>
      <c r="I32" s="131"/>
      <c r="J32" s="131"/>
      <c r="K32" s="328"/>
      <c r="L32" s="329"/>
      <c r="M32" s="330">
        <v>110</v>
      </c>
      <c r="N32" s="328"/>
      <c r="O32" s="132" t="s">
        <v>234</v>
      </c>
    </row>
    <row r="33" spans="1:15" ht="42.75" customHeight="1">
      <c r="A33" s="127">
        <v>2</v>
      </c>
      <c r="B33" s="186" t="s">
        <v>345</v>
      </c>
      <c r="C33" s="307" t="s">
        <v>511</v>
      </c>
      <c r="D33" s="129">
        <v>50</v>
      </c>
      <c r="E33" s="129">
        <f t="shared" si="4"/>
        <v>50</v>
      </c>
      <c r="F33" s="129">
        <v>0</v>
      </c>
      <c r="G33" s="129">
        <f t="shared" si="5"/>
        <v>50</v>
      </c>
      <c r="H33" s="130">
        <f t="shared" si="6"/>
        <v>50</v>
      </c>
      <c r="I33" s="131"/>
      <c r="J33" s="131"/>
      <c r="K33" s="328"/>
      <c r="L33" s="329"/>
      <c r="M33" s="330">
        <v>50</v>
      </c>
      <c r="N33" s="328"/>
      <c r="O33" s="140" t="s">
        <v>234</v>
      </c>
    </row>
    <row r="34" spans="1:15" ht="45" customHeight="1">
      <c r="A34" s="127">
        <v>3</v>
      </c>
      <c r="B34" s="186" t="s">
        <v>417</v>
      </c>
      <c r="C34" s="307" t="s">
        <v>511</v>
      </c>
      <c r="D34" s="129">
        <v>200</v>
      </c>
      <c r="E34" s="129">
        <f t="shared" si="4"/>
        <v>200</v>
      </c>
      <c r="F34" s="129">
        <v>0</v>
      </c>
      <c r="G34" s="129">
        <f t="shared" si="5"/>
        <v>200</v>
      </c>
      <c r="H34" s="130">
        <f t="shared" si="6"/>
        <v>200</v>
      </c>
      <c r="I34" s="131"/>
      <c r="J34" s="131"/>
      <c r="K34" s="328"/>
      <c r="L34" s="329"/>
      <c r="M34" s="330">
        <v>200</v>
      </c>
      <c r="N34" s="328"/>
      <c r="O34" s="140" t="s">
        <v>234</v>
      </c>
    </row>
    <row r="35" spans="1:15" ht="43.5" customHeight="1">
      <c r="A35" s="127">
        <v>4</v>
      </c>
      <c r="B35" s="186" t="s">
        <v>512</v>
      </c>
      <c r="C35" s="307" t="s">
        <v>511</v>
      </c>
      <c r="D35" s="129">
        <v>700</v>
      </c>
      <c r="E35" s="129">
        <f t="shared" si="4"/>
        <v>700</v>
      </c>
      <c r="F35" s="129">
        <v>0</v>
      </c>
      <c r="G35" s="129">
        <f t="shared" si="5"/>
        <v>700</v>
      </c>
      <c r="H35" s="130">
        <f t="shared" si="6"/>
        <v>700</v>
      </c>
      <c r="I35" s="131"/>
      <c r="J35" s="131"/>
      <c r="K35" s="328"/>
      <c r="L35" s="329"/>
      <c r="M35" s="330">
        <v>700</v>
      </c>
      <c r="N35" s="328"/>
      <c r="O35" s="140" t="s">
        <v>234</v>
      </c>
    </row>
    <row r="36" spans="1:15" ht="45.75" customHeight="1">
      <c r="A36" s="127">
        <v>5</v>
      </c>
      <c r="B36" s="186" t="s">
        <v>513</v>
      </c>
      <c r="C36" s="307" t="s">
        <v>511</v>
      </c>
      <c r="D36" s="129">
        <v>40</v>
      </c>
      <c r="E36" s="129">
        <f t="shared" si="4"/>
        <v>40</v>
      </c>
      <c r="F36" s="129">
        <v>0</v>
      </c>
      <c r="G36" s="129">
        <f t="shared" si="5"/>
        <v>40</v>
      </c>
      <c r="H36" s="130">
        <f t="shared" si="6"/>
        <v>40</v>
      </c>
      <c r="I36" s="131"/>
      <c r="J36" s="131"/>
      <c r="K36" s="328"/>
      <c r="L36" s="329"/>
      <c r="M36" s="330">
        <v>40</v>
      </c>
      <c r="N36" s="328"/>
      <c r="O36" s="140" t="s">
        <v>234</v>
      </c>
    </row>
    <row r="37" spans="1:15" ht="84">
      <c r="A37" s="127">
        <v>6</v>
      </c>
      <c r="B37" s="186" t="s">
        <v>141</v>
      </c>
      <c r="C37" s="307" t="s">
        <v>435</v>
      </c>
      <c r="D37" s="129">
        <v>1267</v>
      </c>
      <c r="E37" s="129">
        <f t="shared" si="4"/>
        <v>1267</v>
      </c>
      <c r="F37" s="129">
        <v>0</v>
      </c>
      <c r="G37" s="129">
        <f t="shared" si="5"/>
        <v>1267</v>
      </c>
      <c r="H37" s="130">
        <f t="shared" si="6"/>
        <v>1267</v>
      </c>
      <c r="I37" s="131"/>
      <c r="J37" s="131"/>
      <c r="K37" s="328"/>
      <c r="L37" s="329"/>
      <c r="M37" s="330">
        <v>1267</v>
      </c>
      <c r="N37" s="328"/>
      <c r="O37" s="140" t="s">
        <v>202</v>
      </c>
    </row>
    <row r="38" spans="1:15" ht="29.25" customHeight="1">
      <c r="A38" s="133"/>
      <c r="B38" s="134"/>
      <c r="C38" s="133" t="s">
        <v>187</v>
      </c>
      <c r="D38" s="135">
        <f>SUM(D32:D37)</f>
        <v>2367</v>
      </c>
      <c r="E38" s="135">
        <f aca="true" t="shared" si="7" ref="E38:N38">SUM(E32:E37)</f>
        <v>2367</v>
      </c>
      <c r="F38" s="135">
        <f t="shared" si="7"/>
        <v>0</v>
      </c>
      <c r="G38" s="135">
        <f t="shared" si="7"/>
        <v>2367</v>
      </c>
      <c r="H38" s="135">
        <f t="shared" si="7"/>
        <v>2367</v>
      </c>
      <c r="I38" s="135">
        <f t="shared" si="7"/>
        <v>0</v>
      </c>
      <c r="J38" s="135">
        <f t="shared" si="7"/>
        <v>0</v>
      </c>
      <c r="K38" s="135">
        <f t="shared" si="7"/>
        <v>0</v>
      </c>
      <c r="L38" s="135">
        <f t="shared" si="7"/>
        <v>0</v>
      </c>
      <c r="M38" s="135">
        <f t="shared" si="7"/>
        <v>2367</v>
      </c>
      <c r="N38" s="135">
        <f t="shared" si="7"/>
        <v>0</v>
      </c>
      <c r="O38" s="136"/>
    </row>
    <row r="39" spans="1:15" ht="29.25" customHeight="1">
      <c r="A39" s="133"/>
      <c r="B39" s="134"/>
      <c r="C39" s="133"/>
      <c r="D39" s="137"/>
      <c r="E39" s="137"/>
      <c r="F39" s="137"/>
      <c r="G39" s="137"/>
      <c r="H39" s="137"/>
      <c r="I39" s="137"/>
      <c r="J39" s="137"/>
      <c r="K39" s="137"/>
      <c r="L39" s="137"/>
      <c r="M39" s="137"/>
      <c r="N39" s="137"/>
      <c r="O39" s="136"/>
    </row>
    <row r="40" spans="1:15" ht="29.25" customHeight="1">
      <c r="A40" s="133"/>
      <c r="B40" s="134"/>
      <c r="C40" s="133"/>
      <c r="D40" s="137"/>
      <c r="E40" s="137"/>
      <c r="F40" s="137"/>
      <c r="G40" s="137"/>
      <c r="H40" s="137"/>
      <c r="I40" s="137"/>
      <c r="J40" s="137"/>
      <c r="K40" s="137"/>
      <c r="L40" s="137"/>
      <c r="M40" s="137"/>
      <c r="N40" s="137"/>
      <c r="O40" s="136"/>
    </row>
    <row r="41" spans="1:15" ht="29.25" customHeight="1">
      <c r="A41" s="133"/>
      <c r="B41" s="134"/>
      <c r="C41" s="133"/>
      <c r="D41" s="137"/>
      <c r="E41" s="137"/>
      <c r="F41" s="137"/>
      <c r="G41" s="137"/>
      <c r="H41" s="137"/>
      <c r="I41" s="137"/>
      <c r="J41" s="137"/>
      <c r="K41" s="137"/>
      <c r="L41" s="137"/>
      <c r="M41" s="137"/>
      <c r="N41" s="137"/>
      <c r="O41" s="136"/>
    </row>
    <row r="42" spans="1:15" ht="18" customHeight="1">
      <c r="A42" s="133"/>
      <c r="B42" s="134"/>
      <c r="C42" s="133"/>
      <c r="D42" s="137"/>
      <c r="E42" s="137"/>
      <c r="F42" s="137"/>
      <c r="G42" s="137"/>
      <c r="H42" s="137"/>
      <c r="I42" s="137"/>
      <c r="J42" s="137"/>
      <c r="K42" s="137"/>
      <c r="L42" s="137"/>
      <c r="M42" s="137"/>
      <c r="N42" s="137"/>
      <c r="O42" s="136"/>
    </row>
    <row r="43" spans="1:15" ht="24.75" customHeight="1" thickBot="1">
      <c r="A43" s="276" t="s">
        <v>443</v>
      </c>
      <c r="B43" s="134"/>
      <c r="C43" s="133"/>
      <c r="D43" s="137"/>
      <c r="E43" s="137"/>
      <c r="F43" s="137"/>
      <c r="G43" s="137"/>
      <c r="H43" s="137"/>
      <c r="I43" s="137"/>
      <c r="J43" s="137"/>
      <c r="K43" s="137"/>
      <c r="L43" s="137"/>
      <c r="M43" s="137"/>
      <c r="N43" s="373" t="s">
        <v>185</v>
      </c>
      <c r="O43" s="136"/>
    </row>
    <row r="44" spans="1:15" ht="60.75" thickBot="1">
      <c r="A44" s="293" t="s">
        <v>186</v>
      </c>
      <c r="B44" s="294" t="s">
        <v>188</v>
      </c>
      <c r="C44" s="295" t="s">
        <v>223</v>
      </c>
      <c r="D44" s="294" t="s">
        <v>457</v>
      </c>
      <c r="E44" s="296" t="s">
        <v>220</v>
      </c>
      <c r="F44" s="297" t="s">
        <v>458</v>
      </c>
      <c r="G44" s="297" t="s">
        <v>278</v>
      </c>
      <c r="H44" s="297" t="s">
        <v>459</v>
      </c>
      <c r="I44" s="125" t="s">
        <v>222</v>
      </c>
      <c r="J44" s="126" t="s">
        <v>221</v>
      </c>
      <c r="K44" s="298" t="s">
        <v>254</v>
      </c>
      <c r="L44" s="297" t="s">
        <v>432</v>
      </c>
      <c r="M44" s="297" t="s">
        <v>192</v>
      </c>
      <c r="N44" s="299" t="s">
        <v>204</v>
      </c>
      <c r="O44" s="136"/>
    </row>
    <row r="45" spans="1:15" ht="47.25" customHeight="1">
      <c r="A45" s="331">
        <v>1</v>
      </c>
      <c r="B45" s="186" t="s">
        <v>518</v>
      </c>
      <c r="C45" s="315" t="s">
        <v>523</v>
      </c>
      <c r="D45" s="129">
        <v>1</v>
      </c>
      <c r="E45" s="129">
        <f aca="true" t="shared" si="8" ref="E45:E52">D45</f>
        <v>1</v>
      </c>
      <c r="F45" s="129">
        <v>0</v>
      </c>
      <c r="G45" s="129">
        <f aca="true" t="shared" si="9" ref="G45:G52">E45-F45</f>
        <v>1</v>
      </c>
      <c r="H45" s="130">
        <f>SUM(I45:N45)</f>
        <v>1</v>
      </c>
      <c r="I45" s="131"/>
      <c r="J45" s="131"/>
      <c r="K45" s="328"/>
      <c r="L45" s="329"/>
      <c r="M45" s="330">
        <v>1</v>
      </c>
      <c r="N45" s="328"/>
      <c r="O45" s="132" t="s">
        <v>202</v>
      </c>
    </row>
    <row r="46" spans="1:15" ht="76.5">
      <c r="A46" s="331">
        <v>2</v>
      </c>
      <c r="B46" s="187" t="s">
        <v>62</v>
      </c>
      <c r="C46" s="315" t="s">
        <v>52</v>
      </c>
      <c r="D46" s="129">
        <v>202</v>
      </c>
      <c r="E46" s="129">
        <f t="shared" si="8"/>
        <v>202</v>
      </c>
      <c r="F46" s="129">
        <v>0</v>
      </c>
      <c r="G46" s="129">
        <f t="shared" si="9"/>
        <v>202</v>
      </c>
      <c r="H46" s="130">
        <f>SUM(J46:N46)</f>
        <v>202</v>
      </c>
      <c r="I46" s="131"/>
      <c r="J46" s="131"/>
      <c r="K46" s="131">
        <v>202</v>
      </c>
      <c r="L46" s="156"/>
      <c r="M46" s="131">
        <v>0</v>
      </c>
      <c r="N46" s="131"/>
      <c r="O46" s="132" t="s">
        <v>234</v>
      </c>
    </row>
    <row r="47" spans="1:15" ht="48">
      <c r="A47" s="331">
        <v>3</v>
      </c>
      <c r="B47" s="187" t="s">
        <v>55</v>
      </c>
      <c r="C47" s="315" t="s">
        <v>52</v>
      </c>
      <c r="D47" s="129">
        <v>4</v>
      </c>
      <c r="E47" s="129">
        <f t="shared" si="8"/>
        <v>4</v>
      </c>
      <c r="F47" s="129">
        <v>0</v>
      </c>
      <c r="G47" s="129">
        <f t="shared" si="9"/>
        <v>4</v>
      </c>
      <c r="H47" s="130">
        <f aca="true" t="shared" si="10" ref="H47:H52">SUM(J47:N47)</f>
        <v>4</v>
      </c>
      <c r="I47" s="131"/>
      <c r="J47" s="131"/>
      <c r="K47" s="131">
        <v>4</v>
      </c>
      <c r="L47" s="156"/>
      <c r="M47" s="131">
        <v>0</v>
      </c>
      <c r="N47" s="131"/>
      <c r="O47" s="132" t="s">
        <v>234</v>
      </c>
    </row>
    <row r="48" spans="1:15" ht="51">
      <c r="A48" s="331">
        <v>4</v>
      </c>
      <c r="B48" s="187" t="s">
        <v>331</v>
      </c>
      <c r="C48" s="315" t="s">
        <v>52</v>
      </c>
      <c r="D48" s="129">
        <v>4</v>
      </c>
      <c r="E48" s="129">
        <f t="shared" si="8"/>
        <v>4</v>
      </c>
      <c r="F48" s="129">
        <v>0</v>
      </c>
      <c r="G48" s="129">
        <f t="shared" si="9"/>
        <v>4</v>
      </c>
      <c r="H48" s="130">
        <f t="shared" si="10"/>
        <v>4</v>
      </c>
      <c r="I48" s="131"/>
      <c r="J48" s="131"/>
      <c r="K48" s="131">
        <v>4</v>
      </c>
      <c r="L48" s="156"/>
      <c r="M48" s="131">
        <v>0</v>
      </c>
      <c r="N48" s="131"/>
      <c r="O48" s="132" t="s">
        <v>234</v>
      </c>
    </row>
    <row r="49" spans="1:15" ht="48">
      <c r="A49" s="331">
        <v>5</v>
      </c>
      <c r="B49" s="187" t="s">
        <v>75</v>
      </c>
      <c r="C49" s="315" t="s">
        <v>52</v>
      </c>
      <c r="D49" s="129">
        <v>3</v>
      </c>
      <c r="E49" s="129">
        <f t="shared" si="8"/>
        <v>3</v>
      </c>
      <c r="F49" s="129">
        <v>0</v>
      </c>
      <c r="G49" s="129">
        <f t="shared" si="9"/>
        <v>3</v>
      </c>
      <c r="H49" s="130">
        <f t="shared" si="10"/>
        <v>3</v>
      </c>
      <c r="I49" s="131"/>
      <c r="J49" s="131"/>
      <c r="K49" s="131">
        <v>3</v>
      </c>
      <c r="L49" s="156"/>
      <c r="M49" s="131">
        <v>0</v>
      </c>
      <c r="N49" s="131"/>
      <c r="O49" s="132" t="s">
        <v>234</v>
      </c>
    </row>
    <row r="50" spans="1:15" ht="48">
      <c r="A50" s="331">
        <v>6</v>
      </c>
      <c r="B50" s="187" t="s">
        <v>78</v>
      </c>
      <c r="C50" s="315" t="s">
        <v>52</v>
      </c>
      <c r="D50" s="129">
        <v>3</v>
      </c>
      <c r="E50" s="129">
        <f t="shared" si="8"/>
        <v>3</v>
      </c>
      <c r="F50" s="129">
        <v>0</v>
      </c>
      <c r="G50" s="129">
        <f t="shared" si="9"/>
        <v>3</v>
      </c>
      <c r="H50" s="130">
        <f>SUM(J50:N50)</f>
        <v>3</v>
      </c>
      <c r="I50" s="131"/>
      <c r="J50" s="131"/>
      <c r="K50" s="131">
        <v>3</v>
      </c>
      <c r="L50" s="156"/>
      <c r="M50" s="131">
        <v>0</v>
      </c>
      <c r="N50" s="131"/>
      <c r="O50" s="132" t="s">
        <v>234</v>
      </c>
    </row>
    <row r="51" spans="1:15" ht="51">
      <c r="A51" s="331">
        <v>7</v>
      </c>
      <c r="B51" s="187" t="s">
        <v>85</v>
      </c>
      <c r="C51" s="315" t="s">
        <v>52</v>
      </c>
      <c r="D51" s="129">
        <v>3</v>
      </c>
      <c r="E51" s="129">
        <f t="shared" si="8"/>
        <v>3</v>
      </c>
      <c r="F51" s="129">
        <v>0</v>
      </c>
      <c r="G51" s="129">
        <f t="shared" si="9"/>
        <v>3</v>
      </c>
      <c r="H51" s="130">
        <f>SUM(J51:N51)</f>
        <v>3</v>
      </c>
      <c r="I51" s="131"/>
      <c r="J51" s="131"/>
      <c r="K51" s="131">
        <v>3</v>
      </c>
      <c r="L51" s="156"/>
      <c r="M51" s="131">
        <v>0</v>
      </c>
      <c r="N51" s="131"/>
      <c r="O51" s="132" t="s">
        <v>234</v>
      </c>
    </row>
    <row r="52" spans="1:15" ht="51">
      <c r="A52" s="331">
        <v>8</v>
      </c>
      <c r="B52" s="187" t="s">
        <v>81</v>
      </c>
      <c r="C52" s="315" t="s">
        <v>52</v>
      </c>
      <c r="D52" s="129">
        <v>495</v>
      </c>
      <c r="E52" s="129">
        <f t="shared" si="8"/>
        <v>495</v>
      </c>
      <c r="F52" s="129">
        <v>0</v>
      </c>
      <c r="G52" s="129">
        <f t="shared" si="9"/>
        <v>495</v>
      </c>
      <c r="H52" s="130">
        <f t="shared" si="10"/>
        <v>495</v>
      </c>
      <c r="I52" s="131"/>
      <c r="J52" s="131"/>
      <c r="K52" s="131">
        <v>495</v>
      </c>
      <c r="L52" s="156"/>
      <c r="M52" s="131">
        <v>0</v>
      </c>
      <c r="N52" s="131"/>
      <c r="O52" s="132" t="s">
        <v>234</v>
      </c>
    </row>
    <row r="53" spans="1:15" ht="32.25" customHeight="1">
      <c r="A53" s="133"/>
      <c r="B53" s="134" t="s">
        <v>187</v>
      </c>
      <c r="C53" s="133"/>
      <c r="D53" s="142">
        <f>SUM(D45:D52)</f>
        <v>715</v>
      </c>
      <c r="E53" s="142">
        <f aca="true" t="shared" si="11" ref="E53:N53">SUM(E45:E52)</f>
        <v>715</v>
      </c>
      <c r="F53" s="142">
        <f t="shared" si="11"/>
        <v>0</v>
      </c>
      <c r="G53" s="142">
        <f t="shared" si="11"/>
        <v>715</v>
      </c>
      <c r="H53" s="142">
        <f t="shared" si="11"/>
        <v>715</v>
      </c>
      <c r="I53" s="142">
        <f t="shared" si="11"/>
        <v>0</v>
      </c>
      <c r="J53" s="142">
        <f t="shared" si="11"/>
        <v>0</v>
      </c>
      <c r="K53" s="142">
        <f t="shared" si="11"/>
        <v>714</v>
      </c>
      <c r="L53" s="142">
        <f t="shared" si="11"/>
        <v>0</v>
      </c>
      <c r="M53" s="142">
        <f t="shared" si="11"/>
        <v>1</v>
      </c>
      <c r="N53" s="142">
        <f t="shared" si="11"/>
        <v>0</v>
      </c>
      <c r="O53" s="136"/>
    </row>
    <row r="54" spans="1:15" ht="65.25" customHeight="1">
      <c r="A54" s="133"/>
      <c r="B54" s="134"/>
      <c r="C54" s="133"/>
      <c r="D54" s="137"/>
      <c r="E54" s="137"/>
      <c r="F54" s="137"/>
      <c r="G54" s="137"/>
      <c r="H54" s="137"/>
      <c r="I54" s="137"/>
      <c r="J54" s="137"/>
      <c r="K54" s="137"/>
      <c r="L54" s="137"/>
      <c r="M54" s="137"/>
      <c r="N54" s="137"/>
      <c r="O54" s="136"/>
    </row>
    <row r="55" spans="1:15" ht="28.5" customHeight="1" thickBot="1">
      <c r="A55" s="282" t="s">
        <v>277</v>
      </c>
      <c r="B55" s="143"/>
      <c r="C55" s="133"/>
      <c r="D55" s="134"/>
      <c r="E55" s="144"/>
      <c r="F55" s="144"/>
      <c r="G55" s="144"/>
      <c r="H55" s="144"/>
      <c r="I55" s="144"/>
      <c r="J55" s="144"/>
      <c r="K55" s="144"/>
      <c r="L55" s="144"/>
      <c r="M55" s="144"/>
      <c r="N55" s="374" t="s">
        <v>185</v>
      </c>
      <c r="O55" s="145"/>
    </row>
    <row r="56" spans="1:15" ht="52.5" customHeight="1" thickBot="1">
      <c r="A56" s="293" t="s">
        <v>186</v>
      </c>
      <c r="B56" s="294" t="s">
        <v>188</v>
      </c>
      <c r="C56" s="295" t="s">
        <v>223</v>
      </c>
      <c r="D56" s="294" t="s">
        <v>457</v>
      </c>
      <c r="E56" s="296" t="s">
        <v>220</v>
      </c>
      <c r="F56" s="297" t="s">
        <v>458</v>
      </c>
      <c r="G56" s="297" t="s">
        <v>278</v>
      </c>
      <c r="H56" s="297" t="s">
        <v>459</v>
      </c>
      <c r="I56" s="125" t="s">
        <v>222</v>
      </c>
      <c r="J56" s="126" t="s">
        <v>221</v>
      </c>
      <c r="K56" s="298" t="s">
        <v>254</v>
      </c>
      <c r="L56" s="297" t="s">
        <v>432</v>
      </c>
      <c r="M56" s="297" t="s">
        <v>192</v>
      </c>
      <c r="N56" s="299" t="s">
        <v>204</v>
      </c>
      <c r="O56" s="123"/>
    </row>
    <row r="57" spans="1:15" ht="57" customHeight="1">
      <c r="A57" s="127">
        <v>1</v>
      </c>
      <c r="B57" s="186" t="s">
        <v>510</v>
      </c>
      <c r="C57" s="315" t="s">
        <v>524</v>
      </c>
      <c r="D57" s="188">
        <v>63</v>
      </c>
      <c r="E57" s="188">
        <f>D57</f>
        <v>63</v>
      </c>
      <c r="F57" s="188">
        <v>0</v>
      </c>
      <c r="G57" s="186">
        <f>E57-F57</f>
        <v>63</v>
      </c>
      <c r="H57" s="139">
        <f>SUM(I57:N57)</f>
        <v>63</v>
      </c>
      <c r="I57" s="188"/>
      <c r="J57" s="188"/>
      <c r="K57" s="188"/>
      <c r="L57" s="188"/>
      <c r="M57" s="188">
        <v>63</v>
      </c>
      <c r="N57" s="188"/>
      <c r="O57" s="140" t="s">
        <v>234</v>
      </c>
    </row>
    <row r="58" spans="1:15" ht="56.25" customHeight="1">
      <c r="A58" s="127">
        <v>2</v>
      </c>
      <c r="B58" s="187" t="s">
        <v>79</v>
      </c>
      <c r="C58" s="315" t="s">
        <v>52</v>
      </c>
      <c r="D58" s="129">
        <v>3</v>
      </c>
      <c r="E58" s="129">
        <f>D58</f>
        <v>3</v>
      </c>
      <c r="F58" s="129">
        <v>0</v>
      </c>
      <c r="G58" s="129">
        <f>E58-F58</f>
        <v>3</v>
      </c>
      <c r="H58" s="130">
        <f>SUM(J58:N58)</f>
        <v>3</v>
      </c>
      <c r="I58" s="131"/>
      <c r="J58" s="131"/>
      <c r="K58" s="131">
        <v>3</v>
      </c>
      <c r="L58" s="156"/>
      <c r="M58" s="131">
        <v>0</v>
      </c>
      <c r="N58" s="131"/>
      <c r="O58" s="132" t="s">
        <v>234</v>
      </c>
    </row>
    <row r="59" spans="1:15" ht="56.25" customHeight="1">
      <c r="A59" s="355">
        <v>3</v>
      </c>
      <c r="B59" s="253" t="s">
        <v>138</v>
      </c>
      <c r="C59" s="306" t="s">
        <v>295</v>
      </c>
      <c r="D59" s="254">
        <v>61</v>
      </c>
      <c r="E59" s="254">
        <f>D59</f>
        <v>61</v>
      </c>
      <c r="F59" s="255">
        <v>0</v>
      </c>
      <c r="G59" s="256">
        <f>D59-F59</f>
        <v>61</v>
      </c>
      <c r="H59" s="257">
        <f>SUM(K59:N59)</f>
        <v>61</v>
      </c>
      <c r="I59" s="257"/>
      <c r="J59" s="257"/>
      <c r="K59" s="256"/>
      <c r="L59" s="256">
        <v>61</v>
      </c>
      <c r="M59" s="255">
        <v>0</v>
      </c>
      <c r="N59" s="256">
        <v>0</v>
      </c>
      <c r="O59" s="169" t="s">
        <v>203</v>
      </c>
    </row>
    <row r="60" spans="1:15" ht="60" customHeight="1">
      <c r="A60" s="355">
        <v>3</v>
      </c>
      <c r="B60" s="253" t="s">
        <v>150</v>
      </c>
      <c r="C60" s="306" t="s">
        <v>295</v>
      </c>
      <c r="D60" s="254">
        <v>231</v>
      </c>
      <c r="E60" s="254">
        <f>D60</f>
        <v>231</v>
      </c>
      <c r="F60" s="255">
        <v>0</v>
      </c>
      <c r="G60" s="256">
        <f>D60-F60</f>
        <v>231</v>
      </c>
      <c r="H60" s="257">
        <f>SUM(K60:N60)</f>
        <v>231</v>
      </c>
      <c r="I60" s="257"/>
      <c r="J60" s="257"/>
      <c r="K60" s="256"/>
      <c r="L60" s="256">
        <v>231</v>
      </c>
      <c r="M60" s="255">
        <v>0</v>
      </c>
      <c r="N60" s="256">
        <v>0</v>
      </c>
      <c r="O60" s="169" t="s">
        <v>202</v>
      </c>
    </row>
    <row r="61" spans="1:15" ht="30.75" customHeight="1">
      <c r="A61" s="133"/>
      <c r="B61" s="134"/>
      <c r="C61" s="133" t="s">
        <v>187</v>
      </c>
      <c r="D61" s="147">
        <f aca="true" t="shared" si="12" ref="D61:N61">SUM(D57:D60)</f>
        <v>358</v>
      </c>
      <c r="E61" s="147">
        <f t="shared" si="12"/>
        <v>358</v>
      </c>
      <c r="F61" s="147">
        <f t="shared" si="12"/>
        <v>0</v>
      </c>
      <c r="G61" s="147">
        <f t="shared" si="12"/>
        <v>358</v>
      </c>
      <c r="H61" s="147">
        <f t="shared" si="12"/>
        <v>358</v>
      </c>
      <c r="I61" s="147">
        <f t="shared" si="12"/>
        <v>0</v>
      </c>
      <c r="J61" s="147">
        <f t="shared" si="12"/>
        <v>0</v>
      </c>
      <c r="K61" s="147">
        <f t="shared" si="12"/>
        <v>3</v>
      </c>
      <c r="L61" s="147">
        <f t="shared" si="12"/>
        <v>292</v>
      </c>
      <c r="M61" s="147">
        <f t="shared" si="12"/>
        <v>63</v>
      </c>
      <c r="N61" s="147">
        <f t="shared" si="12"/>
        <v>0</v>
      </c>
      <c r="O61" s="136"/>
    </row>
    <row r="62" spans="1:15" ht="30.75" customHeight="1">
      <c r="A62" s="133"/>
      <c r="B62" s="134"/>
      <c r="C62" s="133"/>
      <c r="D62" s="177"/>
      <c r="E62" s="177"/>
      <c r="F62" s="177"/>
      <c r="G62" s="177"/>
      <c r="H62" s="177"/>
      <c r="I62" s="177"/>
      <c r="J62" s="177"/>
      <c r="K62" s="177"/>
      <c r="L62" s="177"/>
      <c r="M62" s="177"/>
      <c r="N62" s="177"/>
      <c r="O62" s="136"/>
    </row>
    <row r="63" spans="1:15" ht="10.5" customHeight="1">
      <c r="A63" s="133"/>
      <c r="B63" s="134"/>
      <c r="C63" s="133"/>
      <c r="D63" s="177"/>
      <c r="E63" s="177"/>
      <c r="F63" s="177"/>
      <c r="G63" s="177"/>
      <c r="H63" s="177"/>
      <c r="I63" s="177"/>
      <c r="J63" s="177"/>
      <c r="K63" s="177"/>
      <c r="L63" s="177"/>
      <c r="M63" s="177"/>
      <c r="N63" s="177"/>
      <c r="O63" s="136"/>
    </row>
    <row r="64" spans="1:15" ht="32.25" customHeight="1" thickBot="1">
      <c r="A64" s="106" t="s">
        <v>274</v>
      </c>
      <c r="B64" s="13"/>
      <c r="C64" s="133"/>
      <c r="D64" s="134"/>
      <c r="E64" s="144"/>
      <c r="F64" s="144"/>
      <c r="G64" s="144"/>
      <c r="H64" s="144"/>
      <c r="I64" s="144"/>
      <c r="J64" s="144"/>
      <c r="K64" s="144"/>
      <c r="L64" s="144"/>
      <c r="M64" s="144"/>
      <c r="N64" s="124" t="s">
        <v>185</v>
      </c>
      <c r="O64" s="145"/>
    </row>
    <row r="65" spans="1:15" ht="60.75" thickBot="1">
      <c r="A65" s="293" t="s">
        <v>186</v>
      </c>
      <c r="B65" s="294" t="s">
        <v>188</v>
      </c>
      <c r="C65" s="295" t="s">
        <v>223</v>
      </c>
      <c r="D65" s="294" t="s">
        <v>457</v>
      </c>
      <c r="E65" s="296" t="s">
        <v>220</v>
      </c>
      <c r="F65" s="297" t="s">
        <v>458</v>
      </c>
      <c r="G65" s="297" t="s">
        <v>278</v>
      </c>
      <c r="H65" s="297" t="s">
        <v>459</v>
      </c>
      <c r="I65" s="125" t="s">
        <v>222</v>
      </c>
      <c r="J65" s="126" t="s">
        <v>221</v>
      </c>
      <c r="K65" s="298" t="s">
        <v>254</v>
      </c>
      <c r="L65" s="297" t="s">
        <v>432</v>
      </c>
      <c r="M65" s="297" t="s">
        <v>192</v>
      </c>
      <c r="N65" s="299" t="s">
        <v>204</v>
      </c>
      <c r="O65" s="123"/>
    </row>
    <row r="66" spans="1:15" ht="51.75" customHeight="1">
      <c r="A66" s="127">
        <v>3</v>
      </c>
      <c r="B66" s="186" t="s">
        <v>349</v>
      </c>
      <c r="C66" s="307" t="s">
        <v>471</v>
      </c>
      <c r="D66" s="188">
        <v>500</v>
      </c>
      <c r="E66" s="188">
        <v>500</v>
      </c>
      <c r="F66" s="188">
        <v>0</v>
      </c>
      <c r="G66" s="186">
        <f>E66-F66</f>
        <v>500</v>
      </c>
      <c r="H66" s="336">
        <f>SUM(I66:N66)</f>
        <v>500</v>
      </c>
      <c r="I66" s="188"/>
      <c r="J66" s="188"/>
      <c r="K66" s="188">
        <v>0</v>
      </c>
      <c r="L66" s="188"/>
      <c r="M66" s="188">
        <v>500</v>
      </c>
      <c r="N66" s="188"/>
      <c r="O66" s="140" t="s">
        <v>279</v>
      </c>
    </row>
    <row r="67" spans="1:15" ht="23.25" customHeight="1">
      <c r="A67" s="133"/>
      <c r="B67" s="134"/>
      <c r="C67" s="133" t="s">
        <v>187</v>
      </c>
      <c r="D67" s="147">
        <f>SUM(D66:D66)</f>
        <v>500</v>
      </c>
      <c r="E67" s="147">
        <f aca="true" t="shared" si="13" ref="E67:N67">SUM(E66:E66)</f>
        <v>500</v>
      </c>
      <c r="F67" s="147">
        <f t="shared" si="13"/>
        <v>0</v>
      </c>
      <c r="G67" s="147">
        <f t="shared" si="13"/>
        <v>500</v>
      </c>
      <c r="H67" s="147">
        <f t="shared" si="13"/>
        <v>500</v>
      </c>
      <c r="I67" s="147">
        <f t="shared" si="13"/>
        <v>0</v>
      </c>
      <c r="J67" s="147">
        <f t="shared" si="13"/>
        <v>0</v>
      </c>
      <c r="K67" s="147">
        <f t="shared" si="13"/>
        <v>0</v>
      </c>
      <c r="L67" s="147">
        <f t="shared" si="13"/>
        <v>0</v>
      </c>
      <c r="M67" s="147">
        <f t="shared" si="13"/>
        <v>500</v>
      </c>
      <c r="N67" s="147">
        <f t="shared" si="13"/>
        <v>0</v>
      </c>
      <c r="O67" s="136"/>
    </row>
    <row r="68" spans="1:15" ht="32.25" customHeight="1">
      <c r="A68" s="133"/>
      <c r="B68" s="134"/>
      <c r="C68" s="133"/>
      <c r="D68" s="177"/>
      <c r="E68" s="177"/>
      <c r="F68" s="177"/>
      <c r="G68" s="177"/>
      <c r="H68" s="177"/>
      <c r="I68" s="177"/>
      <c r="J68" s="177"/>
      <c r="K68" s="177"/>
      <c r="L68" s="177"/>
      <c r="M68" s="177"/>
      <c r="N68" s="177"/>
      <c r="O68" s="136"/>
    </row>
    <row r="69" spans="1:15" s="143" customFormat="1" ht="29.25" customHeight="1" thickBot="1">
      <c r="A69" s="114" t="s">
        <v>290</v>
      </c>
      <c r="B69" s="18"/>
      <c r="C69" s="15"/>
      <c r="D69" s="18"/>
      <c r="E69" s="18"/>
      <c r="F69" s="18"/>
      <c r="G69" s="18"/>
      <c r="H69" s="15"/>
      <c r="I69" s="15"/>
      <c r="J69" s="15"/>
      <c r="K69" s="15"/>
      <c r="L69" s="79"/>
      <c r="M69" s="15"/>
      <c r="N69" s="148" t="s">
        <v>185</v>
      </c>
      <c r="O69" s="145"/>
    </row>
    <row r="70" spans="1:15" ht="60.75" thickBot="1">
      <c r="A70" s="293" t="s">
        <v>186</v>
      </c>
      <c r="B70" s="294" t="s">
        <v>188</v>
      </c>
      <c r="C70" s="295" t="s">
        <v>223</v>
      </c>
      <c r="D70" s="294" t="s">
        <v>457</v>
      </c>
      <c r="E70" s="296" t="s">
        <v>220</v>
      </c>
      <c r="F70" s="297" t="s">
        <v>458</v>
      </c>
      <c r="G70" s="297" t="s">
        <v>278</v>
      </c>
      <c r="H70" s="297" t="s">
        <v>459</v>
      </c>
      <c r="I70" s="125" t="s">
        <v>222</v>
      </c>
      <c r="J70" s="126" t="s">
        <v>221</v>
      </c>
      <c r="K70" s="298" t="s">
        <v>254</v>
      </c>
      <c r="L70" s="297" t="s">
        <v>432</v>
      </c>
      <c r="M70" s="297" t="s">
        <v>192</v>
      </c>
      <c r="N70" s="299" t="s">
        <v>204</v>
      </c>
      <c r="O70" s="123"/>
    </row>
    <row r="71" spans="1:15" ht="54.75" customHeight="1">
      <c r="A71" s="127">
        <v>1</v>
      </c>
      <c r="B71" s="186" t="s">
        <v>147</v>
      </c>
      <c r="C71" s="334" t="s">
        <v>524</v>
      </c>
      <c r="D71" s="188">
        <v>12</v>
      </c>
      <c r="E71" s="188">
        <f aca="true" t="shared" si="14" ref="E71:E82">D71</f>
        <v>12</v>
      </c>
      <c r="F71" s="188">
        <v>0</v>
      </c>
      <c r="G71" s="186">
        <f aca="true" t="shared" si="15" ref="G71:G82">E71-F71</f>
        <v>12</v>
      </c>
      <c r="H71" s="139">
        <f aca="true" t="shared" si="16" ref="H71:H83">SUM(I71:N71)</f>
        <v>12</v>
      </c>
      <c r="I71" s="188"/>
      <c r="J71" s="188"/>
      <c r="K71" s="188"/>
      <c r="L71" s="188"/>
      <c r="M71" s="188">
        <v>12</v>
      </c>
      <c r="N71" s="188"/>
      <c r="O71" s="140" t="s">
        <v>234</v>
      </c>
    </row>
    <row r="72" spans="1:15" ht="54.75" customHeight="1">
      <c r="A72" s="127">
        <v>2</v>
      </c>
      <c r="B72" s="186" t="s">
        <v>148</v>
      </c>
      <c r="C72" s="334" t="s">
        <v>524</v>
      </c>
      <c r="D72" s="188">
        <v>3</v>
      </c>
      <c r="E72" s="188">
        <f t="shared" si="14"/>
        <v>3</v>
      </c>
      <c r="F72" s="188">
        <v>0</v>
      </c>
      <c r="G72" s="186">
        <f t="shared" si="15"/>
        <v>3</v>
      </c>
      <c r="H72" s="139">
        <f t="shared" si="16"/>
        <v>3</v>
      </c>
      <c r="I72" s="188"/>
      <c r="J72" s="188"/>
      <c r="K72" s="188"/>
      <c r="L72" s="188"/>
      <c r="M72" s="188">
        <v>3</v>
      </c>
      <c r="N72" s="188"/>
      <c r="O72" s="140" t="s">
        <v>234</v>
      </c>
    </row>
    <row r="73" spans="1:15" ht="53.25" customHeight="1">
      <c r="A73" s="127">
        <v>3</v>
      </c>
      <c r="B73" s="186" t="s">
        <v>504</v>
      </c>
      <c r="C73" s="334" t="s">
        <v>524</v>
      </c>
      <c r="D73" s="188">
        <v>21</v>
      </c>
      <c r="E73" s="188">
        <f t="shared" si="14"/>
        <v>21</v>
      </c>
      <c r="F73" s="188">
        <v>0</v>
      </c>
      <c r="G73" s="186">
        <f t="shared" si="15"/>
        <v>21</v>
      </c>
      <c r="H73" s="139">
        <f t="shared" si="16"/>
        <v>21</v>
      </c>
      <c r="I73" s="188"/>
      <c r="J73" s="188"/>
      <c r="K73" s="188"/>
      <c r="L73" s="188"/>
      <c r="M73" s="188">
        <v>21</v>
      </c>
      <c r="N73" s="188"/>
      <c r="O73" s="140" t="s">
        <v>234</v>
      </c>
    </row>
    <row r="74" spans="1:15" ht="57" customHeight="1">
      <c r="A74" s="127">
        <v>4</v>
      </c>
      <c r="B74" s="186" t="s">
        <v>505</v>
      </c>
      <c r="C74" s="334" t="s">
        <v>524</v>
      </c>
      <c r="D74" s="188">
        <v>32</v>
      </c>
      <c r="E74" s="188">
        <f t="shared" si="14"/>
        <v>32</v>
      </c>
      <c r="F74" s="188">
        <v>0</v>
      </c>
      <c r="G74" s="186">
        <f t="shared" si="15"/>
        <v>32</v>
      </c>
      <c r="H74" s="139">
        <f t="shared" si="16"/>
        <v>32</v>
      </c>
      <c r="I74" s="188"/>
      <c r="J74" s="188"/>
      <c r="K74" s="188"/>
      <c r="L74" s="188"/>
      <c r="M74" s="188">
        <v>32</v>
      </c>
      <c r="N74" s="188"/>
      <c r="O74" s="140" t="s">
        <v>202</v>
      </c>
    </row>
    <row r="75" spans="1:15" ht="58.5" customHeight="1">
      <c r="A75" s="127">
        <v>5</v>
      </c>
      <c r="B75" s="186" t="s">
        <v>506</v>
      </c>
      <c r="C75" s="334" t="s">
        <v>524</v>
      </c>
      <c r="D75" s="188">
        <v>3</v>
      </c>
      <c r="E75" s="188">
        <f t="shared" si="14"/>
        <v>3</v>
      </c>
      <c r="F75" s="188">
        <v>0</v>
      </c>
      <c r="G75" s="186">
        <f t="shared" si="15"/>
        <v>3</v>
      </c>
      <c r="H75" s="139">
        <f t="shared" si="16"/>
        <v>3</v>
      </c>
      <c r="I75" s="188"/>
      <c r="J75" s="188"/>
      <c r="K75" s="188"/>
      <c r="L75" s="188"/>
      <c r="M75" s="188">
        <v>3</v>
      </c>
      <c r="N75" s="188"/>
      <c r="O75" s="140" t="s">
        <v>203</v>
      </c>
    </row>
    <row r="76" spans="1:15" ht="56.25" customHeight="1">
      <c r="A76" s="127">
        <v>6</v>
      </c>
      <c r="B76" s="186" t="s">
        <v>507</v>
      </c>
      <c r="C76" s="334" t="s">
        <v>524</v>
      </c>
      <c r="D76" s="188">
        <v>15</v>
      </c>
      <c r="E76" s="188">
        <f t="shared" si="14"/>
        <v>15</v>
      </c>
      <c r="F76" s="188">
        <v>0</v>
      </c>
      <c r="G76" s="186">
        <f t="shared" si="15"/>
        <v>15</v>
      </c>
      <c r="H76" s="139">
        <f t="shared" si="16"/>
        <v>15</v>
      </c>
      <c r="I76" s="188"/>
      <c r="J76" s="188"/>
      <c r="K76" s="188"/>
      <c r="L76" s="188"/>
      <c r="M76" s="188">
        <v>15</v>
      </c>
      <c r="N76" s="188"/>
      <c r="O76" s="140" t="s">
        <v>202</v>
      </c>
    </row>
    <row r="77" spans="1:15" ht="55.5" customHeight="1">
      <c r="A77" s="127">
        <v>7</v>
      </c>
      <c r="B77" s="186" t="s">
        <v>508</v>
      </c>
      <c r="C77" s="334" t="s">
        <v>524</v>
      </c>
      <c r="D77" s="188">
        <v>3</v>
      </c>
      <c r="E77" s="188">
        <f t="shared" si="14"/>
        <v>3</v>
      </c>
      <c r="F77" s="188">
        <v>0</v>
      </c>
      <c r="G77" s="186">
        <f t="shared" si="15"/>
        <v>3</v>
      </c>
      <c r="H77" s="139">
        <f t="shared" si="16"/>
        <v>3</v>
      </c>
      <c r="I77" s="188"/>
      <c r="J77" s="188"/>
      <c r="K77" s="188"/>
      <c r="L77" s="188"/>
      <c r="M77" s="188">
        <v>3</v>
      </c>
      <c r="N77" s="188"/>
      <c r="O77" s="140" t="s">
        <v>202</v>
      </c>
    </row>
    <row r="78" spans="1:15" ht="52.5" customHeight="1">
      <c r="A78" s="127">
        <v>8</v>
      </c>
      <c r="B78" s="186" t="s">
        <v>509</v>
      </c>
      <c r="C78" s="334" t="s">
        <v>524</v>
      </c>
      <c r="D78" s="188">
        <v>180</v>
      </c>
      <c r="E78" s="188">
        <f t="shared" si="14"/>
        <v>180</v>
      </c>
      <c r="F78" s="188">
        <v>0</v>
      </c>
      <c r="G78" s="186">
        <f t="shared" si="15"/>
        <v>180</v>
      </c>
      <c r="H78" s="139">
        <f t="shared" si="16"/>
        <v>180</v>
      </c>
      <c r="I78" s="188"/>
      <c r="J78" s="188"/>
      <c r="K78" s="188"/>
      <c r="L78" s="188"/>
      <c r="M78" s="188">
        <v>180</v>
      </c>
      <c r="N78" s="188"/>
      <c r="O78" s="140" t="s">
        <v>202</v>
      </c>
    </row>
    <row r="79" spans="1:15" ht="56.25" customHeight="1">
      <c r="A79" s="127">
        <v>9</v>
      </c>
      <c r="B79" s="186" t="s">
        <v>498</v>
      </c>
      <c r="C79" s="334" t="s">
        <v>524</v>
      </c>
      <c r="D79" s="249">
        <v>49</v>
      </c>
      <c r="E79" s="249">
        <f t="shared" si="14"/>
        <v>49</v>
      </c>
      <c r="F79" s="249">
        <v>0</v>
      </c>
      <c r="G79" s="250">
        <f t="shared" si="15"/>
        <v>49</v>
      </c>
      <c r="H79" s="251">
        <f>SUM(I79:M79)</f>
        <v>49</v>
      </c>
      <c r="I79" s="323"/>
      <c r="J79" s="323"/>
      <c r="K79" s="323"/>
      <c r="L79" s="323"/>
      <c r="M79" s="323">
        <v>49</v>
      </c>
      <c r="N79" s="249"/>
      <c r="O79" s="169" t="s">
        <v>203</v>
      </c>
    </row>
    <row r="80" spans="1:15" ht="53.25" customHeight="1">
      <c r="A80" s="127">
        <v>10</v>
      </c>
      <c r="B80" s="186" t="s">
        <v>499</v>
      </c>
      <c r="C80" s="334" t="s">
        <v>524</v>
      </c>
      <c r="D80" s="249">
        <v>43</v>
      </c>
      <c r="E80" s="249">
        <f>D80</f>
        <v>43</v>
      </c>
      <c r="F80" s="249">
        <v>0</v>
      </c>
      <c r="G80" s="250">
        <f>E80-F80</f>
        <v>43</v>
      </c>
      <c r="H80" s="251">
        <f>SUM(I80:M80)</f>
        <v>43</v>
      </c>
      <c r="I80" s="323"/>
      <c r="J80" s="323"/>
      <c r="K80" s="323"/>
      <c r="L80" s="323"/>
      <c r="M80" s="323">
        <v>43</v>
      </c>
      <c r="N80" s="249"/>
      <c r="O80" s="169" t="s">
        <v>203</v>
      </c>
    </row>
    <row r="81" spans="1:15" ht="63.75">
      <c r="A81" s="127">
        <v>11</v>
      </c>
      <c r="B81" s="186" t="s">
        <v>501</v>
      </c>
      <c r="C81" s="334" t="s">
        <v>524</v>
      </c>
      <c r="D81" s="188">
        <v>7</v>
      </c>
      <c r="E81" s="188">
        <f t="shared" si="14"/>
        <v>7</v>
      </c>
      <c r="F81" s="188">
        <v>0</v>
      </c>
      <c r="G81" s="186">
        <f>E81-F81</f>
        <v>7</v>
      </c>
      <c r="H81" s="139">
        <f t="shared" si="16"/>
        <v>7</v>
      </c>
      <c r="I81" s="188"/>
      <c r="J81" s="188"/>
      <c r="K81" s="188">
        <v>7</v>
      </c>
      <c r="L81" s="188"/>
      <c r="M81" s="188">
        <v>0</v>
      </c>
      <c r="N81" s="188"/>
      <c r="O81" s="140" t="s">
        <v>234</v>
      </c>
    </row>
    <row r="82" spans="1:15" ht="74.25" customHeight="1">
      <c r="A82" s="127">
        <v>12</v>
      </c>
      <c r="B82" s="186" t="s">
        <v>502</v>
      </c>
      <c r="C82" s="334" t="s">
        <v>524</v>
      </c>
      <c r="D82" s="188">
        <v>56</v>
      </c>
      <c r="E82" s="188">
        <f t="shared" si="14"/>
        <v>56</v>
      </c>
      <c r="F82" s="188">
        <v>0</v>
      </c>
      <c r="G82" s="186">
        <f t="shared" si="15"/>
        <v>56</v>
      </c>
      <c r="H82" s="139">
        <f t="shared" si="16"/>
        <v>56</v>
      </c>
      <c r="I82" s="188"/>
      <c r="J82" s="188"/>
      <c r="K82" s="188">
        <v>56</v>
      </c>
      <c r="L82" s="188"/>
      <c r="M82" s="188">
        <v>0</v>
      </c>
      <c r="N82" s="188"/>
      <c r="O82" s="140" t="s">
        <v>234</v>
      </c>
    </row>
    <row r="83" spans="1:15" ht="76.5">
      <c r="A83" s="127">
        <v>13</v>
      </c>
      <c r="B83" s="186" t="s">
        <v>503</v>
      </c>
      <c r="C83" s="334" t="s">
        <v>524</v>
      </c>
      <c r="D83" s="188">
        <v>42</v>
      </c>
      <c r="E83" s="188">
        <f>D83</f>
        <v>42</v>
      </c>
      <c r="F83" s="188">
        <v>0</v>
      </c>
      <c r="G83" s="186">
        <f>E83-F83</f>
        <v>42</v>
      </c>
      <c r="H83" s="139">
        <f t="shared" si="16"/>
        <v>42</v>
      </c>
      <c r="I83" s="188"/>
      <c r="J83" s="188"/>
      <c r="K83" s="188">
        <v>42</v>
      </c>
      <c r="L83" s="188"/>
      <c r="M83" s="188">
        <v>0</v>
      </c>
      <c r="N83" s="188"/>
      <c r="O83" s="140" t="s">
        <v>234</v>
      </c>
    </row>
    <row r="84" spans="1:15" s="150" customFormat="1" ht="28.5" customHeight="1">
      <c r="A84" s="149"/>
      <c r="B84" s="134"/>
      <c r="C84" s="133" t="s">
        <v>187</v>
      </c>
      <c r="D84" s="135">
        <f aca="true" t="shared" si="17" ref="D84:N84">SUM(D71:D83)</f>
        <v>466</v>
      </c>
      <c r="E84" s="135">
        <f t="shared" si="17"/>
        <v>466</v>
      </c>
      <c r="F84" s="135">
        <f t="shared" si="17"/>
        <v>0</v>
      </c>
      <c r="G84" s="135">
        <f t="shared" si="17"/>
        <v>466</v>
      </c>
      <c r="H84" s="135">
        <f t="shared" si="17"/>
        <v>466</v>
      </c>
      <c r="I84" s="135">
        <f t="shared" si="17"/>
        <v>0</v>
      </c>
      <c r="J84" s="135">
        <f t="shared" si="17"/>
        <v>0</v>
      </c>
      <c r="K84" s="135">
        <f t="shared" si="17"/>
        <v>105</v>
      </c>
      <c r="L84" s="135">
        <f t="shared" si="17"/>
        <v>0</v>
      </c>
      <c r="M84" s="135">
        <f t="shared" si="17"/>
        <v>361</v>
      </c>
      <c r="N84" s="135">
        <f t="shared" si="17"/>
        <v>0</v>
      </c>
      <c r="O84" s="335"/>
    </row>
    <row r="85" spans="1:15" s="152" customFormat="1" ht="36" customHeight="1">
      <c r="A85" s="149"/>
      <c r="B85" s="134"/>
      <c r="C85" s="133"/>
      <c r="D85" s="151"/>
      <c r="E85" s="151"/>
      <c r="F85" s="151"/>
      <c r="G85" s="151"/>
      <c r="H85" s="151"/>
      <c r="I85" s="151"/>
      <c r="J85" s="151"/>
      <c r="K85" s="151"/>
      <c r="L85" s="151"/>
      <c r="M85" s="151"/>
      <c r="N85" s="151"/>
      <c r="O85" s="136"/>
    </row>
    <row r="86" spans="1:15" s="155" customFormat="1" ht="33.75" customHeight="1" thickBot="1">
      <c r="A86" s="114" t="s">
        <v>201</v>
      </c>
      <c r="B86" s="153"/>
      <c r="C86" s="153"/>
      <c r="D86" s="153"/>
      <c r="E86" s="153"/>
      <c r="F86" s="153"/>
      <c r="G86" s="153"/>
      <c r="H86" s="154"/>
      <c r="I86" s="154"/>
      <c r="J86" s="154"/>
      <c r="K86" s="154"/>
      <c r="L86" s="154"/>
      <c r="M86" s="154"/>
      <c r="N86" s="148" t="s">
        <v>185</v>
      </c>
      <c r="O86" s="136"/>
    </row>
    <row r="87" spans="1:15" ht="60.75" thickBot="1">
      <c r="A87" s="293" t="s">
        <v>186</v>
      </c>
      <c r="B87" s="294" t="s">
        <v>188</v>
      </c>
      <c r="C87" s="295" t="s">
        <v>223</v>
      </c>
      <c r="D87" s="294" t="s">
        <v>457</v>
      </c>
      <c r="E87" s="296" t="s">
        <v>220</v>
      </c>
      <c r="F87" s="297" t="s">
        <v>458</v>
      </c>
      <c r="G87" s="297" t="s">
        <v>278</v>
      </c>
      <c r="H87" s="297" t="s">
        <v>459</v>
      </c>
      <c r="I87" s="125" t="s">
        <v>222</v>
      </c>
      <c r="J87" s="126" t="s">
        <v>221</v>
      </c>
      <c r="K87" s="298" t="s">
        <v>254</v>
      </c>
      <c r="L87" s="297" t="s">
        <v>432</v>
      </c>
      <c r="M87" s="297" t="s">
        <v>192</v>
      </c>
      <c r="N87" s="299" t="s">
        <v>204</v>
      </c>
      <c r="O87" s="123"/>
    </row>
    <row r="88" spans="1:15" s="18" customFormat="1" ht="60.75" customHeight="1">
      <c r="A88" s="331">
        <v>1</v>
      </c>
      <c r="B88" s="187" t="s">
        <v>5</v>
      </c>
      <c r="C88" s="333" t="s">
        <v>10</v>
      </c>
      <c r="D88" s="129">
        <v>1054</v>
      </c>
      <c r="E88" s="129">
        <f aca="true" t="shared" si="18" ref="E88:E100">D88</f>
        <v>1054</v>
      </c>
      <c r="F88" s="129">
        <v>960</v>
      </c>
      <c r="G88" s="129">
        <f aca="true" t="shared" si="19" ref="G88:G93">E88-F88</f>
        <v>94</v>
      </c>
      <c r="H88" s="130">
        <f>SUM(J88:N88)</f>
        <v>94</v>
      </c>
      <c r="I88" s="131"/>
      <c r="J88" s="131"/>
      <c r="K88" s="131"/>
      <c r="L88" s="156">
        <v>0</v>
      </c>
      <c r="M88" s="131">
        <v>94</v>
      </c>
      <c r="N88" s="131">
        <v>0</v>
      </c>
      <c r="O88" s="132" t="s">
        <v>203</v>
      </c>
    </row>
    <row r="89" spans="1:15" s="18" customFormat="1" ht="59.25" customHeight="1">
      <c r="A89" s="331">
        <v>2</v>
      </c>
      <c r="B89" s="187" t="s">
        <v>8</v>
      </c>
      <c r="C89" s="333" t="s">
        <v>10</v>
      </c>
      <c r="D89" s="129">
        <v>13100</v>
      </c>
      <c r="E89" s="129">
        <f t="shared" si="18"/>
        <v>13100</v>
      </c>
      <c r="F89" s="129">
        <v>0</v>
      </c>
      <c r="G89" s="129">
        <f t="shared" si="19"/>
        <v>13100</v>
      </c>
      <c r="H89" s="130">
        <f>SUM(J89:N89)</f>
        <v>8800</v>
      </c>
      <c r="I89" s="131"/>
      <c r="J89" s="131"/>
      <c r="K89" s="131"/>
      <c r="L89" s="156">
        <v>0</v>
      </c>
      <c r="M89" s="131">
        <v>8800</v>
      </c>
      <c r="N89" s="131">
        <v>0</v>
      </c>
      <c r="O89" s="132" t="s">
        <v>234</v>
      </c>
    </row>
    <row r="90" spans="1:15" s="18" customFormat="1" ht="62.25" customHeight="1">
      <c r="A90" s="331">
        <v>3</v>
      </c>
      <c r="B90" s="186" t="s">
        <v>439</v>
      </c>
      <c r="C90" s="333" t="s">
        <v>10</v>
      </c>
      <c r="D90" s="129">
        <f>116+500</f>
        <v>616</v>
      </c>
      <c r="E90" s="129">
        <f t="shared" si="18"/>
        <v>616</v>
      </c>
      <c r="F90" s="129">
        <v>0</v>
      </c>
      <c r="G90" s="129">
        <f t="shared" si="19"/>
        <v>616</v>
      </c>
      <c r="H90" s="130">
        <f>SUM(I90:N90)</f>
        <v>616</v>
      </c>
      <c r="I90" s="131"/>
      <c r="J90" s="131"/>
      <c r="K90" s="131"/>
      <c r="L90" s="156"/>
      <c r="M90" s="131">
        <f>116+500</f>
        <v>616</v>
      </c>
      <c r="N90" s="131">
        <v>0</v>
      </c>
      <c r="O90" s="132" t="s">
        <v>234</v>
      </c>
    </row>
    <row r="91" spans="1:15" s="18" customFormat="1" ht="62.25" customHeight="1">
      <c r="A91" s="331">
        <v>4</v>
      </c>
      <c r="B91" s="186" t="s">
        <v>31</v>
      </c>
      <c r="C91" s="333" t="s">
        <v>10</v>
      </c>
      <c r="D91" s="129">
        <v>100</v>
      </c>
      <c r="E91" s="129">
        <f t="shared" si="18"/>
        <v>100</v>
      </c>
      <c r="F91" s="129">
        <v>0</v>
      </c>
      <c r="G91" s="129">
        <f t="shared" si="19"/>
        <v>100</v>
      </c>
      <c r="H91" s="130">
        <f>SUM(I91:N91)</f>
        <v>100</v>
      </c>
      <c r="I91" s="131"/>
      <c r="J91" s="131"/>
      <c r="K91" s="131"/>
      <c r="L91" s="156"/>
      <c r="M91" s="131">
        <v>100</v>
      </c>
      <c r="N91" s="131">
        <v>0</v>
      </c>
      <c r="O91" s="132" t="s">
        <v>234</v>
      </c>
    </row>
    <row r="92" spans="1:15" s="18" customFormat="1" ht="61.5" customHeight="1">
      <c r="A92" s="331">
        <v>5</v>
      </c>
      <c r="B92" s="186" t="s">
        <v>19</v>
      </c>
      <c r="C92" s="333" t="s">
        <v>10</v>
      </c>
      <c r="D92" s="129">
        <v>163</v>
      </c>
      <c r="E92" s="129">
        <f t="shared" si="18"/>
        <v>163</v>
      </c>
      <c r="F92" s="129">
        <v>0</v>
      </c>
      <c r="G92" s="129">
        <f t="shared" si="19"/>
        <v>163</v>
      </c>
      <c r="H92" s="130">
        <f>SUM(I92:N92)</f>
        <v>163</v>
      </c>
      <c r="I92" s="131"/>
      <c r="J92" s="131"/>
      <c r="K92" s="131"/>
      <c r="L92" s="156"/>
      <c r="M92" s="131">
        <v>163</v>
      </c>
      <c r="N92" s="131">
        <v>0</v>
      </c>
      <c r="O92" s="132" t="s">
        <v>202</v>
      </c>
    </row>
    <row r="93" spans="1:15" s="18" customFormat="1" ht="60" customHeight="1">
      <c r="A93" s="331">
        <v>6</v>
      </c>
      <c r="B93" s="186" t="s">
        <v>13</v>
      </c>
      <c r="C93" s="333" t="s">
        <v>10</v>
      </c>
      <c r="D93" s="129">
        <v>343</v>
      </c>
      <c r="E93" s="129">
        <f t="shared" si="18"/>
        <v>343</v>
      </c>
      <c r="F93" s="129">
        <v>0</v>
      </c>
      <c r="G93" s="129">
        <f t="shared" si="19"/>
        <v>343</v>
      </c>
      <c r="H93" s="130">
        <f>SUM(I93:N93)</f>
        <v>343</v>
      </c>
      <c r="I93" s="131"/>
      <c r="J93" s="131"/>
      <c r="K93" s="131"/>
      <c r="L93" s="156"/>
      <c r="M93" s="131">
        <v>343</v>
      </c>
      <c r="N93" s="131">
        <v>0</v>
      </c>
      <c r="O93" s="132" t="s">
        <v>202</v>
      </c>
    </row>
    <row r="94" spans="1:15" s="18" customFormat="1" ht="61.5" customHeight="1">
      <c r="A94" s="331">
        <v>7</v>
      </c>
      <c r="B94" s="187" t="s">
        <v>20</v>
      </c>
      <c r="C94" s="333" t="s">
        <v>10</v>
      </c>
      <c r="D94" s="129">
        <v>250</v>
      </c>
      <c r="E94" s="129">
        <f t="shared" si="18"/>
        <v>250</v>
      </c>
      <c r="F94" s="129">
        <v>0</v>
      </c>
      <c r="G94" s="129">
        <f aca="true" t="shared" si="20" ref="G94:G100">E94-F94</f>
        <v>250</v>
      </c>
      <c r="H94" s="130">
        <f>SUM(J94:N94)</f>
        <v>250</v>
      </c>
      <c r="I94" s="131"/>
      <c r="J94" s="131"/>
      <c r="K94" s="131"/>
      <c r="L94" s="156">
        <v>0</v>
      </c>
      <c r="M94" s="131">
        <v>250</v>
      </c>
      <c r="N94" s="131">
        <v>0</v>
      </c>
      <c r="O94" s="132" t="s">
        <v>203</v>
      </c>
    </row>
    <row r="95" spans="1:15" s="18" customFormat="1" ht="61.5" customHeight="1">
      <c r="A95" s="331">
        <v>8</v>
      </c>
      <c r="B95" s="187" t="s">
        <v>21</v>
      </c>
      <c r="C95" s="333" t="s">
        <v>10</v>
      </c>
      <c r="D95" s="129">
        <v>16</v>
      </c>
      <c r="E95" s="129">
        <f t="shared" si="18"/>
        <v>16</v>
      </c>
      <c r="F95" s="129">
        <v>0</v>
      </c>
      <c r="G95" s="129">
        <f t="shared" si="20"/>
        <v>16</v>
      </c>
      <c r="H95" s="130">
        <f>SUM(J95:N95)</f>
        <v>16</v>
      </c>
      <c r="I95" s="131"/>
      <c r="J95" s="131"/>
      <c r="K95" s="131"/>
      <c r="L95" s="156">
        <v>0</v>
      </c>
      <c r="M95" s="131">
        <v>16</v>
      </c>
      <c r="N95" s="131">
        <v>0</v>
      </c>
      <c r="O95" s="132" t="s">
        <v>202</v>
      </c>
    </row>
    <row r="96" spans="1:15" s="18" customFormat="1" ht="63" customHeight="1">
      <c r="A96" s="331">
        <v>9</v>
      </c>
      <c r="B96" s="187" t="s">
        <v>22</v>
      </c>
      <c r="C96" s="333" t="s">
        <v>10</v>
      </c>
      <c r="D96" s="129">
        <v>176</v>
      </c>
      <c r="E96" s="129">
        <f t="shared" si="18"/>
        <v>176</v>
      </c>
      <c r="F96" s="129">
        <v>0</v>
      </c>
      <c r="G96" s="129">
        <f t="shared" si="20"/>
        <v>176</v>
      </c>
      <c r="H96" s="130">
        <f>SUM(J96:N96)</f>
        <v>176</v>
      </c>
      <c r="I96" s="131"/>
      <c r="J96" s="131"/>
      <c r="K96" s="131"/>
      <c r="L96" s="156">
        <v>0</v>
      </c>
      <c r="M96" s="131">
        <v>176</v>
      </c>
      <c r="N96" s="131">
        <v>0</v>
      </c>
      <c r="O96" s="132" t="s">
        <v>202</v>
      </c>
    </row>
    <row r="97" spans="1:15" s="18" customFormat="1" ht="61.5" customHeight="1">
      <c r="A97" s="331">
        <v>10</v>
      </c>
      <c r="B97" s="186" t="s">
        <v>23</v>
      </c>
      <c r="C97" s="333" t="s">
        <v>10</v>
      </c>
      <c r="D97" s="129">
        <v>11</v>
      </c>
      <c r="E97" s="129">
        <f t="shared" si="18"/>
        <v>11</v>
      </c>
      <c r="F97" s="129">
        <v>0</v>
      </c>
      <c r="G97" s="129">
        <f t="shared" si="20"/>
        <v>11</v>
      </c>
      <c r="H97" s="130">
        <f>SUM(I97:N97)</f>
        <v>11</v>
      </c>
      <c r="I97" s="131"/>
      <c r="J97" s="131"/>
      <c r="K97" s="131"/>
      <c r="L97" s="156"/>
      <c r="M97" s="131">
        <v>11</v>
      </c>
      <c r="N97" s="131">
        <v>0</v>
      </c>
      <c r="O97" s="132" t="s">
        <v>202</v>
      </c>
    </row>
    <row r="98" spans="1:15" s="18" customFormat="1" ht="66" customHeight="1">
      <c r="A98" s="331">
        <v>11</v>
      </c>
      <c r="B98" s="187" t="s">
        <v>404</v>
      </c>
      <c r="C98" s="333" t="s">
        <v>10</v>
      </c>
      <c r="D98" s="129">
        <v>58</v>
      </c>
      <c r="E98" s="129">
        <f t="shared" si="18"/>
        <v>58</v>
      </c>
      <c r="F98" s="129">
        <v>0</v>
      </c>
      <c r="G98" s="129">
        <f t="shared" si="20"/>
        <v>58</v>
      </c>
      <c r="H98" s="130">
        <f>SUM(J98:N98)</f>
        <v>58</v>
      </c>
      <c r="I98" s="131"/>
      <c r="J98" s="131"/>
      <c r="K98" s="131"/>
      <c r="L98" s="156">
        <v>0</v>
      </c>
      <c r="M98" s="131">
        <v>58</v>
      </c>
      <c r="N98" s="131">
        <v>0</v>
      </c>
      <c r="O98" s="132" t="s">
        <v>234</v>
      </c>
    </row>
    <row r="99" spans="1:15" s="18" customFormat="1" ht="65.25" customHeight="1">
      <c r="A99" s="331">
        <v>12</v>
      </c>
      <c r="B99" s="187" t="s">
        <v>32</v>
      </c>
      <c r="C99" s="333" t="s">
        <v>10</v>
      </c>
      <c r="D99" s="129">
        <v>445</v>
      </c>
      <c r="E99" s="129">
        <f t="shared" si="18"/>
        <v>445</v>
      </c>
      <c r="F99" s="129">
        <v>0</v>
      </c>
      <c r="G99" s="129">
        <f t="shared" si="20"/>
        <v>445</v>
      </c>
      <c r="H99" s="130">
        <f>SUM(J99:N99)</f>
        <v>445</v>
      </c>
      <c r="I99" s="131"/>
      <c r="J99" s="131"/>
      <c r="K99" s="131"/>
      <c r="L99" s="156">
        <v>0</v>
      </c>
      <c r="M99" s="131">
        <v>445</v>
      </c>
      <c r="N99" s="131">
        <v>0</v>
      </c>
      <c r="O99" s="132" t="s">
        <v>234</v>
      </c>
    </row>
    <row r="100" spans="1:15" s="18" customFormat="1" ht="64.5" customHeight="1">
      <c r="A100" s="331">
        <v>13</v>
      </c>
      <c r="B100" s="187" t="s">
        <v>42</v>
      </c>
      <c r="C100" s="333" t="s">
        <v>10</v>
      </c>
      <c r="D100" s="129">
        <v>1837</v>
      </c>
      <c r="E100" s="129">
        <f t="shared" si="18"/>
        <v>1837</v>
      </c>
      <c r="F100" s="129">
        <v>0</v>
      </c>
      <c r="G100" s="129">
        <f t="shared" si="20"/>
        <v>1837</v>
      </c>
      <c r="H100" s="130">
        <f>SUM(J100:N100)</f>
        <v>1837</v>
      </c>
      <c r="I100" s="131"/>
      <c r="J100" s="131"/>
      <c r="K100" s="131"/>
      <c r="L100" s="156">
        <v>0</v>
      </c>
      <c r="M100" s="131">
        <v>1837</v>
      </c>
      <c r="N100" s="131">
        <v>0</v>
      </c>
      <c r="O100" s="132" t="s">
        <v>234</v>
      </c>
    </row>
    <row r="101" spans="1:15" s="18" customFormat="1" ht="37.5" customHeight="1">
      <c r="A101" s="331">
        <v>14</v>
      </c>
      <c r="B101" s="186" t="s">
        <v>469</v>
      </c>
      <c r="C101" s="315" t="s">
        <v>470</v>
      </c>
      <c r="D101" s="129">
        <v>20</v>
      </c>
      <c r="E101" s="129">
        <f aca="true" t="shared" si="21" ref="E101:E117">D101</f>
        <v>20</v>
      </c>
      <c r="F101" s="129">
        <v>0</v>
      </c>
      <c r="G101" s="129">
        <f aca="true" t="shared" si="22" ref="G101:G107">E101-F101</f>
        <v>20</v>
      </c>
      <c r="H101" s="130">
        <f aca="true" t="shared" si="23" ref="H101:H107">SUM(J101:N101)</f>
        <v>20</v>
      </c>
      <c r="I101" s="131"/>
      <c r="J101" s="131"/>
      <c r="K101" s="131"/>
      <c r="L101" s="156">
        <v>0</v>
      </c>
      <c r="M101" s="131">
        <v>20</v>
      </c>
      <c r="N101" s="131">
        <v>0</v>
      </c>
      <c r="O101" s="132" t="s">
        <v>202</v>
      </c>
    </row>
    <row r="102" spans="1:15" s="18" customFormat="1" ht="60" customHeight="1">
      <c r="A102" s="331">
        <v>15</v>
      </c>
      <c r="B102" s="186" t="s">
        <v>477</v>
      </c>
      <c r="C102" s="315" t="s">
        <v>478</v>
      </c>
      <c r="D102" s="129">
        <v>57</v>
      </c>
      <c r="E102" s="129">
        <f t="shared" si="21"/>
        <v>57</v>
      </c>
      <c r="F102" s="129">
        <v>0</v>
      </c>
      <c r="G102" s="129">
        <f t="shared" si="22"/>
        <v>57</v>
      </c>
      <c r="H102" s="130">
        <f t="shared" si="23"/>
        <v>57</v>
      </c>
      <c r="I102" s="131"/>
      <c r="J102" s="131"/>
      <c r="K102" s="131"/>
      <c r="L102" s="156">
        <v>0</v>
      </c>
      <c r="M102" s="131">
        <v>57</v>
      </c>
      <c r="N102" s="131">
        <v>0</v>
      </c>
      <c r="O102" s="132" t="s">
        <v>203</v>
      </c>
    </row>
    <row r="103" spans="1:15" s="18" customFormat="1" ht="60" customHeight="1">
      <c r="A103" s="331">
        <v>16</v>
      </c>
      <c r="B103" s="186" t="s">
        <v>479</v>
      </c>
      <c r="C103" s="315" t="s">
        <v>478</v>
      </c>
      <c r="D103" s="129">
        <v>120</v>
      </c>
      <c r="E103" s="129">
        <f t="shared" si="21"/>
        <v>120</v>
      </c>
      <c r="F103" s="129">
        <v>0</v>
      </c>
      <c r="G103" s="129">
        <f t="shared" si="22"/>
        <v>120</v>
      </c>
      <c r="H103" s="130">
        <f t="shared" si="23"/>
        <v>120</v>
      </c>
      <c r="I103" s="131"/>
      <c r="J103" s="131"/>
      <c r="K103" s="131"/>
      <c r="L103" s="156">
        <v>0</v>
      </c>
      <c r="M103" s="131">
        <v>120</v>
      </c>
      <c r="N103" s="131">
        <v>0</v>
      </c>
      <c r="O103" s="132" t="s">
        <v>234</v>
      </c>
    </row>
    <row r="104" spans="1:15" s="18" customFormat="1" ht="60" customHeight="1">
      <c r="A104" s="331">
        <v>17</v>
      </c>
      <c r="B104" s="186" t="s">
        <v>480</v>
      </c>
      <c r="C104" s="315" t="s">
        <v>478</v>
      </c>
      <c r="D104" s="129">
        <v>640</v>
      </c>
      <c r="E104" s="129">
        <f t="shared" si="21"/>
        <v>640</v>
      </c>
      <c r="F104" s="129">
        <v>0</v>
      </c>
      <c r="G104" s="129">
        <f t="shared" si="22"/>
        <v>640</v>
      </c>
      <c r="H104" s="130">
        <f t="shared" si="23"/>
        <v>640</v>
      </c>
      <c r="I104" s="131"/>
      <c r="J104" s="131"/>
      <c r="K104" s="131"/>
      <c r="L104" s="156">
        <v>0</v>
      </c>
      <c r="M104" s="131">
        <v>640</v>
      </c>
      <c r="N104" s="131">
        <v>0</v>
      </c>
      <c r="O104" s="132" t="s">
        <v>202</v>
      </c>
    </row>
    <row r="105" spans="1:15" s="18" customFormat="1" ht="60" customHeight="1">
      <c r="A105" s="331">
        <v>18</v>
      </c>
      <c r="B105" s="186" t="s">
        <v>481</v>
      </c>
      <c r="C105" s="315" t="s">
        <v>478</v>
      </c>
      <c r="D105" s="129">
        <v>66</v>
      </c>
      <c r="E105" s="129">
        <f t="shared" si="21"/>
        <v>66</v>
      </c>
      <c r="F105" s="129">
        <v>0</v>
      </c>
      <c r="G105" s="129">
        <f t="shared" si="22"/>
        <v>66</v>
      </c>
      <c r="H105" s="130">
        <f t="shared" si="23"/>
        <v>66</v>
      </c>
      <c r="I105" s="131"/>
      <c r="J105" s="131"/>
      <c r="K105" s="131"/>
      <c r="L105" s="156">
        <v>0</v>
      </c>
      <c r="M105" s="131">
        <v>66</v>
      </c>
      <c r="N105" s="131">
        <v>0</v>
      </c>
      <c r="O105" s="132" t="s">
        <v>202</v>
      </c>
    </row>
    <row r="106" spans="1:15" s="18" customFormat="1" ht="60" customHeight="1">
      <c r="A106" s="331">
        <v>19</v>
      </c>
      <c r="B106" s="186" t="s">
        <v>482</v>
      </c>
      <c r="C106" s="315" t="s">
        <v>478</v>
      </c>
      <c r="D106" s="129">
        <v>97</v>
      </c>
      <c r="E106" s="129">
        <f t="shared" si="21"/>
        <v>97</v>
      </c>
      <c r="F106" s="129">
        <v>0</v>
      </c>
      <c r="G106" s="129">
        <f t="shared" si="22"/>
        <v>97</v>
      </c>
      <c r="H106" s="130">
        <f t="shared" si="23"/>
        <v>97</v>
      </c>
      <c r="I106" s="131"/>
      <c r="J106" s="131"/>
      <c r="K106" s="131"/>
      <c r="L106" s="156">
        <v>0</v>
      </c>
      <c r="M106" s="131">
        <v>97</v>
      </c>
      <c r="N106" s="131">
        <v>0</v>
      </c>
      <c r="O106" s="132" t="s">
        <v>203</v>
      </c>
    </row>
    <row r="107" spans="1:15" s="18" customFormat="1" ht="60" customHeight="1">
      <c r="A107" s="331">
        <v>20</v>
      </c>
      <c r="B107" s="186" t="s">
        <v>483</v>
      </c>
      <c r="C107" s="315" t="s">
        <v>478</v>
      </c>
      <c r="D107" s="129">
        <v>89</v>
      </c>
      <c r="E107" s="129">
        <f t="shared" si="21"/>
        <v>89</v>
      </c>
      <c r="F107" s="129">
        <v>0</v>
      </c>
      <c r="G107" s="129">
        <f t="shared" si="22"/>
        <v>89</v>
      </c>
      <c r="H107" s="130">
        <f t="shared" si="23"/>
        <v>89</v>
      </c>
      <c r="I107" s="131"/>
      <c r="J107" s="131"/>
      <c r="K107" s="131"/>
      <c r="L107" s="156">
        <v>0</v>
      </c>
      <c r="M107" s="131">
        <v>89</v>
      </c>
      <c r="N107" s="131">
        <v>0</v>
      </c>
      <c r="O107" s="132" t="s">
        <v>203</v>
      </c>
    </row>
    <row r="108" spans="1:15" s="18" customFormat="1" ht="60.75" customHeight="1">
      <c r="A108" s="331">
        <v>21</v>
      </c>
      <c r="B108" s="186" t="s">
        <v>484</v>
      </c>
      <c r="C108" s="315" t="s">
        <v>478</v>
      </c>
      <c r="D108" s="129">
        <v>42</v>
      </c>
      <c r="E108" s="129">
        <f t="shared" si="21"/>
        <v>42</v>
      </c>
      <c r="F108" s="129">
        <v>0</v>
      </c>
      <c r="G108" s="129">
        <f aca="true" t="shared" si="24" ref="G108:G115">E108-F108</f>
        <v>42</v>
      </c>
      <c r="H108" s="130">
        <f aca="true" t="shared" si="25" ref="H108:H115">SUM(J108:N108)</f>
        <v>42</v>
      </c>
      <c r="I108" s="131"/>
      <c r="J108" s="131"/>
      <c r="K108" s="131"/>
      <c r="L108" s="156">
        <v>0</v>
      </c>
      <c r="M108" s="131">
        <v>42</v>
      </c>
      <c r="N108" s="131">
        <v>0</v>
      </c>
      <c r="O108" s="132" t="s">
        <v>203</v>
      </c>
    </row>
    <row r="109" spans="1:15" s="18" customFormat="1" ht="60.75" customHeight="1">
      <c r="A109" s="331">
        <v>22</v>
      </c>
      <c r="B109" s="186" t="s">
        <v>485</v>
      </c>
      <c r="C109" s="315" t="s">
        <v>478</v>
      </c>
      <c r="D109" s="129">
        <v>78</v>
      </c>
      <c r="E109" s="129">
        <f t="shared" si="21"/>
        <v>78</v>
      </c>
      <c r="F109" s="129">
        <v>0</v>
      </c>
      <c r="G109" s="129">
        <f t="shared" si="24"/>
        <v>78</v>
      </c>
      <c r="H109" s="130">
        <f t="shared" si="25"/>
        <v>78</v>
      </c>
      <c r="I109" s="131"/>
      <c r="J109" s="131"/>
      <c r="K109" s="131"/>
      <c r="L109" s="156">
        <v>0</v>
      </c>
      <c r="M109" s="131">
        <v>78</v>
      </c>
      <c r="N109" s="131">
        <v>0</v>
      </c>
      <c r="O109" s="132" t="s">
        <v>203</v>
      </c>
    </row>
    <row r="110" spans="1:15" s="18" customFormat="1" ht="60.75" customHeight="1">
      <c r="A110" s="331">
        <v>23</v>
      </c>
      <c r="B110" s="186" t="s">
        <v>486</v>
      </c>
      <c r="C110" s="315" t="s">
        <v>478</v>
      </c>
      <c r="D110" s="129">
        <v>418</v>
      </c>
      <c r="E110" s="129">
        <f t="shared" si="21"/>
        <v>418</v>
      </c>
      <c r="F110" s="129">
        <v>0</v>
      </c>
      <c r="G110" s="129">
        <f t="shared" si="24"/>
        <v>418</v>
      </c>
      <c r="H110" s="130">
        <f t="shared" si="25"/>
        <v>418</v>
      </c>
      <c r="I110" s="131"/>
      <c r="J110" s="131"/>
      <c r="K110" s="131"/>
      <c r="L110" s="156">
        <v>0</v>
      </c>
      <c r="M110" s="131">
        <v>418</v>
      </c>
      <c r="N110" s="131">
        <v>0</v>
      </c>
      <c r="O110" s="132" t="s">
        <v>203</v>
      </c>
    </row>
    <row r="111" spans="1:15" s="18" customFormat="1" ht="60.75" customHeight="1">
      <c r="A111" s="331">
        <v>24</v>
      </c>
      <c r="B111" s="186" t="s">
        <v>487</v>
      </c>
      <c r="C111" s="315" t="s">
        <v>478</v>
      </c>
      <c r="D111" s="129">
        <v>140</v>
      </c>
      <c r="E111" s="129">
        <f t="shared" si="21"/>
        <v>140</v>
      </c>
      <c r="F111" s="129">
        <v>0</v>
      </c>
      <c r="G111" s="129">
        <f t="shared" si="24"/>
        <v>140</v>
      </c>
      <c r="H111" s="130">
        <f t="shared" si="25"/>
        <v>140</v>
      </c>
      <c r="I111" s="131"/>
      <c r="J111" s="131"/>
      <c r="K111" s="131"/>
      <c r="L111" s="156">
        <v>0</v>
      </c>
      <c r="M111" s="131">
        <v>140</v>
      </c>
      <c r="N111" s="131">
        <v>0</v>
      </c>
      <c r="O111" s="132" t="s">
        <v>203</v>
      </c>
    </row>
    <row r="112" spans="1:15" s="18" customFormat="1" ht="60.75" customHeight="1">
      <c r="A112" s="331">
        <v>25</v>
      </c>
      <c r="B112" s="186" t="s">
        <v>488</v>
      </c>
      <c r="C112" s="315" t="s">
        <v>478</v>
      </c>
      <c r="D112" s="129">
        <v>9</v>
      </c>
      <c r="E112" s="129">
        <f t="shared" si="21"/>
        <v>9</v>
      </c>
      <c r="F112" s="129">
        <v>0</v>
      </c>
      <c r="G112" s="129">
        <f t="shared" si="24"/>
        <v>9</v>
      </c>
      <c r="H112" s="130">
        <f t="shared" si="25"/>
        <v>9</v>
      </c>
      <c r="I112" s="131"/>
      <c r="J112" s="131"/>
      <c r="K112" s="131"/>
      <c r="L112" s="156">
        <v>0</v>
      </c>
      <c r="M112" s="131">
        <v>9</v>
      </c>
      <c r="N112" s="131">
        <v>0</v>
      </c>
      <c r="O112" s="132" t="s">
        <v>234</v>
      </c>
    </row>
    <row r="113" spans="1:15" s="18" customFormat="1" ht="60.75" customHeight="1">
      <c r="A113" s="331">
        <v>26</v>
      </c>
      <c r="B113" s="186" t="s">
        <v>489</v>
      </c>
      <c r="C113" s="315" t="s">
        <v>478</v>
      </c>
      <c r="D113" s="129">
        <v>12</v>
      </c>
      <c r="E113" s="129">
        <f t="shared" si="21"/>
        <v>12</v>
      </c>
      <c r="F113" s="129">
        <v>0</v>
      </c>
      <c r="G113" s="129">
        <f t="shared" si="24"/>
        <v>12</v>
      </c>
      <c r="H113" s="130">
        <f t="shared" si="25"/>
        <v>12</v>
      </c>
      <c r="I113" s="131"/>
      <c r="J113" s="131"/>
      <c r="K113" s="131"/>
      <c r="L113" s="156">
        <v>0</v>
      </c>
      <c r="M113" s="131">
        <v>12</v>
      </c>
      <c r="N113" s="131">
        <v>0</v>
      </c>
      <c r="O113" s="132" t="s">
        <v>234</v>
      </c>
    </row>
    <row r="114" spans="1:15" s="18" customFormat="1" ht="60.75" customHeight="1">
      <c r="A114" s="331">
        <v>27</v>
      </c>
      <c r="B114" s="186" t="s">
        <v>490</v>
      </c>
      <c r="C114" s="315" t="s">
        <v>478</v>
      </c>
      <c r="D114" s="129">
        <v>8</v>
      </c>
      <c r="E114" s="129">
        <f t="shared" si="21"/>
        <v>8</v>
      </c>
      <c r="F114" s="129">
        <v>0</v>
      </c>
      <c r="G114" s="129">
        <f t="shared" si="24"/>
        <v>8</v>
      </c>
      <c r="H114" s="130">
        <f t="shared" si="25"/>
        <v>8</v>
      </c>
      <c r="I114" s="131"/>
      <c r="J114" s="131"/>
      <c r="K114" s="131"/>
      <c r="L114" s="156">
        <v>0</v>
      </c>
      <c r="M114" s="131">
        <v>8</v>
      </c>
      <c r="N114" s="131">
        <v>0</v>
      </c>
      <c r="O114" s="132" t="s">
        <v>234</v>
      </c>
    </row>
    <row r="115" spans="1:15" s="18" customFormat="1" ht="60.75" customHeight="1">
      <c r="A115" s="331">
        <v>28</v>
      </c>
      <c r="B115" s="186" t="s">
        <v>491</v>
      </c>
      <c r="C115" s="315" t="s">
        <v>478</v>
      </c>
      <c r="D115" s="129">
        <v>11</v>
      </c>
      <c r="E115" s="129">
        <f t="shared" si="21"/>
        <v>11</v>
      </c>
      <c r="F115" s="129">
        <v>0</v>
      </c>
      <c r="G115" s="129">
        <f t="shared" si="24"/>
        <v>11</v>
      </c>
      <c r="H115" s="130">
        <f t="shared" si="25"/>
        <v>11</v>
      </c>
      <c r="I115" s="131"/>
      <c r="J115" s="131"/>
      <c r="K115" s="131"/>
      <c r="L115" s="156">
        <v>0</v>
      </c>
      <c r="M115" s="131">
        <v>11</v>
      </c>
      <c r="N115" s="131">
        <v>0</v>
      </c>
      <c r="O115" s="132" t="s">
        <v>234</v>
      </c>
    </row>
    <row r="116" spans="1:15" s="18" customFormat="1" ht="52.5" customHeight="1">
      <c r="A116" s="331">
        <v>29</v>
      </c>
      <c r="B116" s="319" t="s">
        <v>493</v>
      </c>
      <c r="C116" s="333" t="s">
        <v>289</v>
      </c>
      <c r="D116" s="320">
        <v>155</v>
      </c>
      <c r="E116" s="321">
        <f t="shared" si="21"/>
        <v>155</v>
      </c>
      <c r="F116" s="322">
        <v>0</v>
      </c>
      <c r="G116" s="256">
        <f>D116-F116</f>
        <v>155</v>
      </c>
      <c r="H116" s="257">
        <f>SUM(K116:N116)</f>
        <v>155</v>
      </c>
      <c r="I116" s="237"/>
      <c r="J116" s="237"/>
      <c r="K116" s="322"/>
      <c r="L116" s="322">
        <v>155</v>
      </c>
      <c r="M116" s="316">
        <v>0</v>
      </c>
      <c r="N116" s="256"/>
      <c r="O116" s="132" t="s">
        <v>234</v>
      </c>
    </row>
    <row r="117" spans="1:15" s="18" customFormat="1" ht="52.5" customHeight="1">
      <c r="A117" s="331">
        <v>30</v>
      </c>
      <c r="B117" s="319" t="s">
        <v>494</v>
      </c>
      <c r="C117" s="333" t="s">
        <v>289</v>
      </c>
      <c r="D117" s="320">
        <v>233</v>
      </c>
      <c r="E117" s="321">
        <f t="shared" si="21"/>
        <v>233</v>
      </c>
      <c r="F117" s="322">
        <v>0</v>
      </c>
      <c r="G117" s="256">
        <f>D117-F117</f>
        <v>233</v>
      </c>
      <c r="H117" s="257">
        <f>SUM(K117:N117)</f>
        <v>233</v>
      </c>
      <c r="I117" s="237"/>
      <c r="J117" s="237"/>
      <c r="K117" s="322"/>
      <c r="L117" s="322">
        <v>233</v>
      </c>
      <c r="M117" s="316">
        <v>0</v>
      </c>
      <c r="N117" s="256"/>
      <c r="O117" s="132" t="s">
        <v>234</v>
      </c>
    </row>
    <row r="118" spans="1:15" ht="27" customHeight="1">
      <c r="A118" s="157"/>
      <c r="B118" s="154"/>
      <c r="C118" s="158" t="s">
        <v>187</v>
      </c>
      <c r="D118" s="159">
        <f>SUM(D88:D117)</f>
        <v>20364</v>
      </c>
      <c r="E118" s="159">
        <f aca="true" t="shared" si="26" ref="E118:N118">SUM(E88:E117)</f>
        <v>20364</v>
      </c>
      <c r="F118" s="159">
        <f t="shared" si="26"/>
        <v>960</v>
      </c>
      <c r="G118" s="159">
        <f t="shared" si="26"/>
        <v>19404</v>
      </c>
      <c r="H118" s="159">
        <f t="shared" si="26"/>
        <v>15104</v>
      </c>
      <c r="I118" s="159">
        <f t="shared" si="26"/>
        <v>0</v>
      </c>
      <c r="J118" s="159">
        <f t="shared" si="26"/>
        <v>0</v>
      </c>
      <c r="K118" s="159">
        <f t="shared" si="26"/>
        <v>0</v>
      </c>
      <c r="L118" s="159">
        <f t="shared" si="26"/>
        <v>388</v>
      </c>
      <c r="M118" s="159">
        <f t="shared" si="26"/>
        <v>14716</v>
      </c>
      <c r="N118" s="159">
        <f t="shared" si="26"/>
        <v>0</v>
      </c>
      <c r="O118" s="160"/>
    </row>
    <row r="119" spans="1:15" ht="18.75" customHeight="1">
      <c r="A119" s="157"/>
      <c r="B119" s="154"/>
      <c r="C119" s="158"/>
      <c r="D119" s="161"/>
      <c r="E119" s="161"/>
      <c r="F119" s="161"/>
      <c r="G119" s="161"/>
      <c r="H119" s="161"/>
      <c r="I119" s="161"/>
      <c r="J119" s="161"/>
      <c r="K119" s="161"/>
      <c r="L119" s="161"/>
      <c r="M119" s="161"/>
      <c r="N119" s="161"/>
      <c r="O119" s="160"/>
    </row>
    <row r="120" spans="1:15" ht="15" customHeight="1" hidden="1">
      <c r="A120" s="157"/>
      <c r="B120" s="154"/>
      <c r="C120" s="158"/>
      <c r="D120" s="161"/>
      <c r="E120" s="161"/>
      <c r="F120" s="161"/>
      <c r="G120" s="161"/>
      <c r="H120" s="161"/>
      <c r="I120" s="161"/>
      <c r="J120" s="161"/>
      <c r="K120" s="161"/>
      <c r="L120" s="161"/>
      <c r="M120" s="161"/>
      <c r="N120" s="161"/>
      <c r="O120" s="160"/>
    </row>
    <row r="121" spans="1:14" s="110" customFormat="1" ht="25.5" customHeight="1" hidden="1" thickBot="1">
      <c r="A121" s="106" t="s">
        <v>238</v>
      </c>
      <c r="C121" s="107"/>
      <c r="D121" s="13"/>
      <c r="E121" s="108"/>
      <c r="F121" s="13"/>
      <c r="G121" s="13"/>
      <c r="H121" s="13"/>
      <c r="I121" s="13"/>
      <c r="J121" s="13"/>
      <c r="K121" s="13"/>
      <c r="M121" s="162"/>
      <c r="N121" s="109" t="s">
        <v>185</v>
      </c>
    </row>
    <row r="122" spans="1:15" ht="48.75" hidden="1" thickBot="1">
      <c r="A122" s="293" t="s">
        <v>186</v>
      </c>
      <c r="B122" s="294" t="s">
        <v>188</v>
      </c>
      <c r="C122" s="295" t="s">
        <v>223</v>
      </c>
      <c r="D122" s="294" t="s">
        <v>457</v>
      </c>
      <c r="E122" s="296" t="s">
        <v>220</v>
      </c>
      <c r="F122" s="297" t="s">
        <v>458</v>
      </c>
      <c r="G122" s="297" t="s">
        <v>278</v>
      </c>
      <c r="H122" s="297" t="s">
        <v>459</v>
      </c>
      <c r="I122" s="125" t="s">
        <v>222</v>
      </c>
      <c r="J122" s="126" t="s">
        <v>221</v>
      </c>
      <c r="K122" s="298" t="s">
        <v>254</v>
      </c>
      <c r="L122" s="297" t="s">
        <v>432</v>
      </c>
      <c r="M122" s="297" t="s">
        <v>192</v>
      </c>
      <c r="N122" s="299" t="s">
        <v>204</v>
      </c>
      <c r="O122" s="123"/>
    </row>
    <row r="123" spans="1:15" ht="13.5" hidden="1">
      <c r="A123" s="146">
        <v>1</v>
      </c>
      <c r="B123" s="187">
        <v>0</v>
      </c>
      <c r="C123" s="128"/>
      <c r="D123" s="129">
        <v>0</v>
      </c>
      <c r="E123" s="129">
        <f>D123</f>
        <v>0</v>
      </c>
      <c r="F123" s="129">
        <v>0</v>
      </c>
      <c r="G123" s="129">
        <f>E123-F123</f>
        <v>0</v>
      </c>
      <c r="H123" s="130">
        <f>SUM(J123:N123)</f>
        <v>0</v>
      </c>
      <c r="I123" s="131"/>
      <c r="J123" s="131"/>
      <c r="K123" s="131">
        <v>0</v>
      </c>
      <c r="L123" s="156"/>
      <c r="M123" s="131">
        <v>0</v>
      </c>
      <c r="N123" s="131">
        <v>0</v>
      </c>
      <c r="O123" s="112" t="s">
        <v>202</v>
      </c>
    </row>
    <row r="124" spans="1:15" ht="57.75" customHeight="1" hidden="1">
      <c r="A124" s="204"/>
      <c r="B124" s="205"/>
      <c r="C124" s="133" t="s">
        <v>187</v>
      </c>
      <c r="D124" s="135">
        <f>SUM(D123:D123)</f>
        <v>0</v>
      </c>
      <c r="E124" s="135">
        <f aca="true" t="shared" si="27" ref="E124:N124">SUM(E123:E123)</f>
        <v>0</v>
      </c>
      <c r="F124" s="135">
        <f t="shared" si="27"/>
        <v>0</v>
      </c>
      <c r="G124" s="135">
        <f t="shared" si="27"/>
        <v>0</v>
      </c>
      <c r="H124" s="135">
        <f t="shared" si="27"/>
        <v>0</v>
      </c>
      <c r="I124" s="135">
        <f t="shared" si="27"/>
        <v>0</v>
      </c>
      <c r="J124" s="135">
        <f t="shared" si="27"/>
        <v>0</v>
      </c>
      <c r="K124" s="135">
        <f t="shared" si="27"/>
        <v>0</v>
      </c>
      <c r="L124" s="135">
        <f t="shared" si="27"/>
        <v>0</v>
      </c>
      <c r="M124" s="135">
        <f t="shared" si="27"/>
        <v>0</v>
      </c>
      <c r="N124" s="135">
        <f t="shared" si="27"/>
        <v>0</v>
      </c>
      <c r="O124" s="138"/>
    </row>
    <row r="125" spans="1:15" ht="24" customHeight="1" hidden="1">
      <c r="A125" s="204"/>
      <c r="B125" s="205"/>
      <c r="C125" s="133"/>
      <c r="D125" s="137"/>
      <c r="E125" s="137"/>
      <c r="F125" s="137"/>
      <c r="G125" s="137"/>
      <c r="H125" s="137"/>
      <c r="I125" s="137"/>
      <c r="J125" s="137"/>
      <c r="K125" s="137"/>
      <c r="L125" s="137"/>
      <c r="M125" s="137"/>
      <c r="N125" s="137"/>
      <c r="O125" s="138"/>
    </row>
    <row r="126" spans="1:15" ht="24" customHeight="1">
      <c r="A126" s="204"/>
      <c r="B126" s="205"/>
      <c r="C126" s="133"/>
      <c r="D126" s="137"/>
      <c r="E126" s="137"/>
      <c r="F126" s="137"/>
      <c r="G126" s="137"/>
      <c r="H126" s="137"/>
      <c r="I126" s="137"/>
      <c r="J126" s="137"/>
      <c r="K126" s="137"/>
      <c r="L126" s="137"/>
      <c r="M126" s="137"/>
      <c r="N126" s="137"/>
      <c r="O126" s="138"/>
    </row>
    <row r="127" spans="1:15" ht="24" customHeight="1">
      <c r="A127" s="204"/>
      <c r="B127" s="205"/>
      <c r="C127" s="133"/>
      <c r="D127" s="137"/>
      <c r="E127" s="137"/>
      <c r="F127" s="137"/>
      <c r="G127" s="137"/>
      <c r="H127" s="137"/>
      <c r="I127" s="137"/>
      <c r="J127" s="137"/>
      <c r="K127" s="137"/>
      <c r="L127" s="137"/>
      <c r="M127" s="137"/>
      <c r="N127" s="137"/>
      <c r="O127" s="138"/>
    </row>
    <row r="128" spans="1:15" ht="24" customHeight="1">
      <c r="A128" s="204"/>
      <c r="B128" s="205"/>
      <c r="C128" s="133"/>
      <c r="D128" s="137"/>
      <c r="E128" s="137"/>
      <c r="F128" s="137"/>
      <c r="G128" s="137"/>
      <c r="H128" s="137"/>
      <c r="I128" s="137"/>
      <c r="J128" s="137"/>
      <c r="K128" s="137"/>
      <c r="L128" s="137"/>
      <c r="M128" s="137"/>
      <c r="N128" s="137"/>
      <c r="O128" s="138"/>
    </row>
    <row r="129" spans="1:15" ht="24" customHeight="1">
      <c r="A129" s="204"/>
      <c r="B129" s="205"/>
      <c r="C129" s="133"/>
      <c r="D129" s="137"/>
      <c r="E129" s="137"/>
      <c r="F129" s="137"/>
      <c r="G129" s="137"/>
      <c r="H129" s="137"/>
      <c r="I129" s="137"/>
      <c r="J129" s="137"/>
      <c r="K129" s="137"/>
      <c r="L129" s="137"/>
      <c r="M129" s="137"/>
      <c r="N129" s="137"/>
      <c r="O129" s="138"/>
    </row>
    <row r="130" spans="1:15" s="111" customFormat="1" ht="33" customHeight="1" thickBot="1">
      <c r="A130" s="137" t="s">
        <v>285</v>
      </c>
      <c r="B130" s="134"/>
      <c r="C130" s="133"/>
      <c r="D130" s="137"/>
      <c r="E130" s="137"/>
      <c r="F130" s="137"/>
      <c r="G130" s="137"/>
      <c r="H130" s="137"/>
      <c r="I130" s="137"/>
      <c r="J130" s="137"/>
      <c r="K130" s="137"/>
      <c r="L130" s="137"/>
      <c r="M130" s="137"/>
      <c r="N130" s="109" t="s">
        <v>185</v>
      </c>
      <c r="O130" s="136"/>
    </row>
    <row r="131" spans="1:15" s="111" customFormat="1" ht="60.75" thickBot="1">
      <c r="A131" s="293" t="s">
        <v>186</v>
      </c>
      <c r="B131" s="294" t="s">
        <v>188</v>
      </c>
      <c r="C131" s="295" t="s">
        <v>223</v>
      </c>
      <c r="D131" s="294" t="s">
        <v>457</v>
      </c>
      <c r="E131" s="296" t="s">
        <v>220</v>
      </c>
      <c r="F131" s="297" t="s">
        <v>458</v>
      </c>
      <c r="G131" s="297" t="s">
        <v>278</v>
      </c>
      <c r="H131" s="297" t="s">
        <v>459</v>
      </c>
      <c r="I131" s="125" t="s">
        <v>222</v>
      </c>
      <c r="J131" s="126" t="s">
        <v>221</v>
      </c>
      <c r="K131" s="298" t="s">
        <v>254</v>
      </c>
      <c r="L131" s="297" t="s">
        <v>432</v>
      </c>
      <c r="M131" s="297" t="s">
        <v>192</v>
      </c>
      <c r="N131" s="299" t="s">
        <v>204</v>
      </c>
      <c r="O131" s="136"/>
    </row>
    <row r="132" spans="1:15" s="111" customFormat="1" ht="55.5" customHeight="1">
      <c r="A132" s="331">
        <v>1</v>
      </c>
      <c r="B132" s="187" t="s">
        <v>369</v>
      </c>
      <c r="C132" s="315" t="s">
        <v>52</v>
      </c>
      <c r="D132" s="129">
        <v>4</v>
      </c>
      <c r="E132" s="129">
        <f>D132</f>
        <v>4</v>
      </c>
      <c r="F132" s="129">
        <v>0</v>
      </c>
      <c r="G132" s="129">
        <f>E132-F132</f>
        <v>4</v>
      </c>
      <c r="H132" s="130">
        <f>SUM(J132:N132)</f>
        <v>4</v>
      </c>
      <c r="I132" s="131"/>
      <c r="J132" s="131"/>
      <c r="K132" s="131">
        <v>4</v>
      </c>
      <c r="L132" s="156"/>
      <c r="M132" s="131">
        <v>0</v>
      </c>
      <c r="N132" s="131"/>
      <c r="O132" s="132" t="s">
        <v>234</v>
      </c>
    </row>
    <row r="133" spans="1:15" s="111" customFormat="1" ht="30" customHeight="1">
      <c r="A133" s="133"/>
      <c r="B133" s="133"/>
      <c r="C133" s="133" t="s">
        <v>187</v>
      </c>
      <c r="D133" s="135">
        <f>SUM(D132:D132)</f>
        <v>4</v>
      </c>
      <c r="E133" s="135">
        <f aca="true" t="shared" si="28" ref="E133:N133">SUM(E132:E132)</f>
        <v>4</v>
      </c>
      <c r="F133" s="135">
        <f t="shared" si="28"/>
        <v>0</v>
      </c>
      <c r="G133" s="135">
        <f t="shared" si="28"/>
        <v>4</v>
      </c>
      <c r="H133" s="135">
        <f t="shared" si="28"/>
        <v>4</v>
      </c>
      <c r="I133" s="135">
        <f t="shared" si="28"/>
        <v>0</v>
      </c>
      <c r="J133" s="135">
        <f t="shared" si="28"/>
        <v>0</v>
      </c>
      <c r="K133" s="135">
        <f t="shared" si="28"/>
        <v>4</v>
      </c>
      <c r="L133" s="135">
        <f t="shared" si="28"/>
        <v>0</v>
      </c>
      <c r="M133" s="135">
        <f t="shared" si="28"/>
        <v>0</v>
      </c>
      <c r="N133" s="135">
        <f t="shared" si="28"/>
        <v>0</v>
      </c>
      <c r="O133" s="138"/>
    </row>
    <row r="134" spans="1:15" s="111" customFormat="1" ht="36" customHeight="1" hidden="1">
      <c r="A134" s="133"/>
      <c r="B134" s="133"/>
      <c r="C134" s="133"/>
      <c r="D134" s="137"/>
      <c r="E134" s="137"/>
      <c r="F134" s="137"/>
      <c r="G134" s="137"/>
      <c r="H134" s="137"/>
      <c r="I134" s="137"/>
      <c r="J134" s="137"/>
      <c r="K134" s="137"/>
      <c r="L134" s="137"/>
      <c r="M134" s="137"/>
      <c r="N134" s="137"/>
      <c r="O134" s="138"/>
    </row>
    <row r="135" spans="1:15" s="111" customFormat="1" ht="30" customHeight="1" hidden="1" thickBot="1">
      <c r="A135" s="137" t="s">
        <v>291</v>
      </c>
      <c r="B135" s="134"/>
      <c r="C135" s="133"/>
      <c r="D135" s="137"/>
      <c r="E135" s="137"/>
      <c r="F135" s="137"/>
      <c r="G135" s="137"/>
      <c r="H135" s="137"/>
      <c r="I135" s="137"/>
      <c r="J135" s="137"/>
      <c r="K135" s="137"/>
      <c r="L135" s="137"/>
      <c r="M135" s="137"/>
      <c r="N135" s="137"/>
      <c r="O135" s="136"/>
    </row>
    <row r="136" spans="1:15" s="111" customFormat="1" ht="49.5" customHeight="1" hidden="1" thickBot="1">
      <c r="A136" s="293" t="s">
        <v>186</v>
      </c>
      <c r="B136" s="294" t="s">
        <v>188</v>
      </c>
      <c r="C136" s="295" t="s">
        <v>223</v>
      </c>
      <c r="D136" s="294" t="s">
        <v>457</v>
      </c>
      <c r="E136" s="296" t="s">
        <v>220</v>
      </c>
      <c r="F136" s="297" t="s">
        <v>458</v>
      </c>
      <c r="G136" s="297" t="s">
        <v>278</v>
      </c>
      <c r="H136" s="297" t="s">
        <v>459</v>
      </c>
      <c r="I136" s="125" t="s">
        <v>222</v>
      </c>
      <c r="J136" s="126" t="s">
        <v>221</v>
      </c>
      <c r="K136" s="298" t="s">
        <v>254</v>
      </c>
      <c r="L136" s="297" t="s">
        <v>432</v>
      </c>
      <c r="M136" s="297" t="s">
        <v>192</v>
      </c>
      <c r="N136" s="299" t="s">
        <v>204</v>
      </c>
      <c r="O136" s="136"/>
    </row>
    <row r="137" spans="1:15" s="111" customFormat="1" ht="70.5" customHeight="1" hidden="1">
      <c r="A137" s="127">
        <v>1</v>
      </c>
      <c r="B137" s="186"/>
      <c r="C137" s="271"/>
      <c r="D137" s="129">
        <v>0</v>
      </c>
      <c r="E137" s="129">
        <v>0</v>
      </c>
      <c r="F137" s="129">
        <v>0</v>
      </c>
      <c r="G137" s="129">
        <f>E137-F137</f>
        <v>0</v>
      </c>
      <c r="H137" s="130">
        <f>SUM(J137:N137)</f>
        <v>0</v>
      </c>
      <c r="I137" s="131"/>
      <c r="J137" s="131"/>
      <c r="K137" s="131">
        <v>0</v>
      </c>
      <c r="L137" s="156"/>
      <c r="M137" s="188">
        <v>0</v>
      </c>
      <c r="N137" s="131"/>
      <c r="O137" s="252" t="s">
        <v>225</v>
      </c>
    </row>
    <row r="138" spans="1:15" s="111" customFormat="1" ht="24" customHeight="1" hidden="1">
      <c r="A138" s="133"/>
      <c r="B138" s="133"/>
      <c r="C138" s="133" t="s">
        <v>187</v>
      </c>
      <c r="D138" s="135">
        <f>SUM(D137:D137)</f>
        <v>0</v>
      </c>
      <c r="E138" s="135">
        <f aca="true" t="shared" si="29" ref="E138:N138">SUM(E137:E137)</f>
        <v>0</v>
      </c>
      <c r="F138" s="135">
        <f t="shared" si="29"/>
        <v>0</v>
      </c>
      <c r="G138" s="135">
        <f t="shared" si="29"/>
        <v>0</v>
      </c>
      <c r="H138" s="135">
        <f t="shared" si="29"/>
        <v>0</v>
      </c>
      <c r="I138" s="135">
        <f t="shared" si="29"/>
        <v>0</v>
      </c>
      <c r="J138" s="135">
        <f t="shared" si="29"/>
        <v>0</v>
      </c>
      <c r="K138" s="135">
        <f t="shared" si="29"/>
        <v>0</v>
      </c>
      <c r="L138" s="135">
        <f t="shared" si="29"/>
        <v>0</v>
      </c>
      <c r="M138" s="135">
        <f t="shared" si="29"/>
        <v>0</v>
      </c>
      <c r="N138" s="135">
        <f t="shared" si="29"/>
        <v>0</v>
      </c>
      <c r="O138" s="138"/>
    </row>
    <row r="139" spans="1:15" s="111" customFormat="1" ht="24" customHeight="1">
      <c r="A139" s="133"/>
      <c r="B139" s="133"/>
      <c r="C139" s="133"/>
      <c r="D139" s="137"/>
      <c r="E139" s="137"/>
      <c r="F139" s="137"/>
      <c r="G139" s="137"/>
      <c r="H139" s="137"/>
      <c r="I139" s="137"/>
      <c r="J139" s="137"/>
      <c r="K139" s="137"/>
      <c r="L139" s="137"/>
      <c r="M139" s="137"/>
      <c r="N139" s="137"/>
      <c r="O139" s="138"/>
    </row>
    <row r="140" spans="1:15" s="111" customFormat="1" ht="24" customHeight="1">
      <c r="A140" s="133"/>
      <c r="B140" s="133"/>
      <c r="C140" s="133"/>
      <c r="D140" s="137"/>
      <c r="E140" s="137"/>
      <c r="F140" s="137"/>
      <c r="G140" s="137"/>
      <c r="H140" s="137"/>
      <c r="I140" s="137"/>
      <c r="J140" s="137"/>
      <c r="K140" s="137"/>
      <c r="L140" s="137"/>
      <c r="M140" s="137"/>
      <c r="N140" s="137"/>
      <c r="O140" s="138"/>
    </row>
    <row r="141" spans="1:15" s="111" customFormat="1" ht="24" customHeight="1">
      <c r="A141" s="133"/>
      <c r="B141" s="133"/>
      <c r="C141" s="133"/>
      <c r="D141" s="137"/>
      <c r="E141" s="137"/>
      <c r="F141" s="137"/>
      <c r="G141" s="137"/>
      <c r="H141" s="137"/>
      <c r="I141" s="137"/>
      <c r="J141" s="137"/>
      <c r="K141" s="137"/>
      <c r="L141" s="137"/>
      <c r="M141" s="137"/>
      <c r="N141" s="137"/>
      <c r="O141" s="138"/>
    </row>
    <row r="142" spans="1:15" s="111" customFormat="1" ht="24" customHeight="1">
      <c r="A142" s="133"/>
      <c r="B142" s="133"/>
      <c r="C142" s="133"/>
      <c r="D142" s="137"/>
      <c r="E142" s="137"/>
      <c r="F142" s="137"/>
      <c r="G142" s="137"/>
      <c r="H142" s="137"/>
      <c r="I142" s="137"/>
      <c r="J142" s="137"/>
      <c r="K142" s="137"/>
      <c r="L142" s="137"/>
      <c r="M142" s="137"/>
      <c r="N142" s="137"/>
      <c r="O142" s="138"/>
    </row>
    <row r="143" spans="1:15" s="111" customFormat="1" ht="22.5" customHeight="1">
      <c r="A143" s="133"/>
      <c r="B143" s="133"/>
      <c r="C143" s="133"/>
      <c r="D143" s="137"/>
      <c r="E143" s="137"/>
      <c r="F143" s="137"/>
      <c r="G143" s="137"/>
      <c r="H143" s="137"/>
      <c r="I143" s="137"/>
      <c r="J143" s="137"/>
      <c r="K143" s="137"/>
      <c r="L143" s="137"/>
      <c r="M143" s="137"/>
      <c r="N143" s="137"/>
      <c r="O143" s="138"/>
    </row>
    <row r="144" spans="1:15" s="111" customFormat="1" ht="35.25" customHeight="1" thickBot="1">
      <c r="A144" s="106" t="s">
        <v>252</v>
      </c>
      <c r="B144" s="110"/>
      <c r="C144" s="107"/>
      <c r="D144" s="13"/>
      <c r="E144" s="108"/>
      <c r="F144" s="13"/>
      <c r="G144" s="13"/>
      <c r="H144" s="13"/>
      <c r="I144" s="13"/>
      <c r="J144" s="13"/>
      <c r="K144" s="13"/>
      <c r="L144" s="109" t="s">
        <v>185</v>
      </c>
      <c r="M144" s="102"/>
      <c r="N144" s="110"/>
      <c r="O144" s="163"/>
    </row>
    <row r="145" spans="1:15" s="111" customFormat="1" ht="60.75" thickBot="1">
      <c r="A145" s="293" t="s">
        <v>186</v>
      </c>
      <c r="B145" s="294" t="s">
        <v>188</v>
      </c>
      <c r="C145" s="295" t="s">
        <v>223</v>
      </c>
      <c r="D145" s="294" t="s">
        <v>457</v>
      </c>
      <c r="E145" s="296" t="s">
        <v>220</v>
      </c>
      <c r="F145" s="297" t="s">
        <v>458</v>
      </c>
      <c r="G145" s="297" t="s">
        <v>278</v>
      </c>
      <c r="H145" s="297" t="s">
        <v>459</v>
      </c>
      <c r="I145" s="125" t="s">
        <v>222</v>
      </c>
      <c r="J145" s="126" t="s">
        <v>221</v>
      </c>
      <c r="K145" s="298" t="s">
        <v>254</v>
      </c>
      <c r="L145" s="297" t="s">
        <v>432</v>
      </c>
      <c r="M145" s="297" t="s">
        <v>192</v>
      </c>
      <c r="N145" s="299" t="s">
        <v>204</v>
      </c>
      <c r="O145" s="164"/>
    </row>
    <row r="146" spans="1:16" s="111" customFormat="1" ht="56.25" customHeight="1">
      <c r="A146" s="331">
        <v>1</v>
      </c>
      <c r="B146" s="332" t="s">
        <v>58</v>
      </c>
      <c r="C146" s="307" t="s">
        <v>52</v>
      </c>
      <c r="D146" s="129">
        <v>5</v>
      </c>
      <c r="E146" s="129">
        <f aca="true" t="shared" si="30" ref="E146:E154">D146</f>
        <v>5</v>
      </c>
      <c r="F146" s="129">
        <v>0</v>
      </c>
      <c r="G146" s="129">
        <f aca="true" t="shared" si="31" ref="G146:G154">E146-F146</f>
        <v>5</v>
      </c>
      <c r="H146" s="130">
        <f aca="true" t="shared" si="32" ref="H146:H154">SUM(J146:N146)</f>
        <v>5</v>
      </c>
      <c r="I146" s="131"/>
      <c r="J146" s="131"/>
      <c r="K146" s="131">
        <v>5</v>
      </c>
      <c r="L146" s="156"/>
      <c r="M146" s="131">
        <v>0</v>
      </c>
      <c r="N146" s="131"/>
      <c r="O146" s="132" t="s">
        <v>234</v>
      </c>
      <c r="P146" s="272"/>
    </row>
    <row r="147" spans="1:16" s="111" customFormat="1" ht="63.75">
      <c r="A147" s="331">
        <v>2</v>
      </c>
      <c r="B147" s="332" t="s">
        <v>66</v>
      </c>
      <c r="C147" s="307" t="s">
        <v>52</v>
      </c>
      <c r="D147" s="129">
        <v>5</v>
      </c>
      <c r="E147" s="129">
        <f t="shared" si="30"/>
        <v>5</v>
      </c>
      <c r="F147" s="129">
        <v>0</v>
      </c>
      <c r="G147" s="129">
        <f t="shared" si="31"/>
        <v>5</v>
      </c>
      <c r="H147" s="130">
        <f t="shared" si="32"/>
        <v>5</v>
      </c>
      <c r="I147" s="131"/>
      <c r="J147" s="131"/>
      <c r="K147" s="131">
        <v>5</v>
      </c>
      <c r="L147" s="156"/>
      <c r="M147" s="131">
        <v>0</v>
      </c>
      <c r="N147" s="131"/>
      <c r="O147" s="132" t="s">
        <v>234</v>
      </c>
      <c r="P147" s="272"/>
    </row>
    <row r="148" spans="1:16" s="111" customFormat="1" ht="56.25" customHeight="1">
      <c r="A148" s="331">
        <v>3</v>
      </c>
      <c r="B148" s="332" t="s">
        <v>69</v>
      </c>
      <c r="C148" s="307" t="s">
        <v>52</v>
      </c>
      <c r="D148" s="129">
        <v>5</v>
      </c>
      <c r="E148" s="129">
        <f>D148</f>
        <v>5</v>
      </c>
      <c r="F148" s="129">
        <v>0</v>
      </c>
      <c r="G148" s="129">
        <f>E148-F148</f>
        <v>5</v>
      </c>
      <c r="H148" s="130">
        <f>SUM(J148:N148)</f>
        <v>5</v>
      </c>
      <c r="I148" s="131"/>
      <c r="J148" s="131"/>
      <c r="K148" s="131">
        <v>5</v>
      </c>
      <c r="L148" s="156"/>
      <c r="M148" s="131">
        <v>0</v>
      </c>
      <c r="N148" s="131"/>
      <c r="O148" s="132" t="s">
        <v>234</v>
      </c>
      <c r="P148" s="272"/>
    </row>
    <row r="149" spans="1:16" s="111" customFormat="1" ht="63.75">
      <c r="A149" s="331">
        <v>4</v>
      </c>
      <c r="B149" s="332" t="s">
        <v>68</v>
      </c>
      <c r="C149" s="307" t="s">
        <v>52</v>
      </c>
      <c r="D149" s="129">
        <v>6100</v>
      </c>
      <c r="E149" s="129">
        <f>D149</f>
        <v>6100</v>
      </c>
      <c r="F149" s="129">
        <v>0</v>
      </c>
      <c r="G149" s="129">
        <f>E149-F149</f>
        <v>6100</v>
      </c>
      <c r="H149" s="130">
        <f>SUM(J149:N149)</f>
        <v>6100</v>
      </c>
      <c r="I149" s="131"/>
      <c r="J149" s="131"/>
      <c r="K149" s="131">
        <v>6100</v>
      </c>
      <c r="L149" s="156"/>
      <c r="M149" s="131">
        <v>0</v>
      </c>
      <c r="N149" s="131"/>
      <c r="O149" s="132" t="s">
        <v>202</v>
      </c>
      <c r="P149" s="272"/>
    </row>
    <row r="150" spans="1:16" s="111" customFormat="1" ht="64.5" customHeight="1">
      <c r="A150" s="331">
        <v>5</v>
      </c>
      <c r="B150" s="332" t="s">
        <v>71</v>
      </c>
      <c r="C150" s="307" t="s">
        <v>52</v>
      </c>
      <c r="D150" s="129">
        <v>3960</v>
      </c>
      <c r="E150" s="129">
        <f t="shared" si="30"/>
        <v>3960</v>
      </c>
      <c r="F150" s="129">
        <v>0</v>
      </c>
      <c r="G150" s="129">
        <f t="shared" si="31"/>
        <v>3960</v>
      </c>
      <c r="H150" s="130">
        <f t="shared" si="32"/>
        <v>3960</v>
      </c>
      <c r="I150" s="131"/>
      <c r="J150" s="131"/>
      <c r="K150" s="131">
        <v>3960</v>
      </c>
      <c r="L150" s="156"/>
      <c r="M150" s="131">
        <v>0</v>
      </c>
      <c r="N150" s="131"/>
      <c r="O150" s="132" t="s">
        <v>202</v>
      </c>
      <c r="P150" s="272"/>
    </row>
    <row r="151" spans="1:16" s="111" customFormat="1" ht="64.5" customHeight="1">
      <c r="A151" s="331">
        <v>6</v>
      </c>
      <c r="B151" s="332" t="s">
        <v>67</v>
      </c>
      <c r="C151" s="307" t="s">
        <v>52</v>
      </c>
      <c r="D151" s="129">
        <v>2400</v>
      </c>
      <c r="E151" s="129">
        <f>D151</f>
        <v>2400</v>
      </c>
      <c r="F151" s="129">
        <v>0</v>
      </c>
      <c r="G151" s="129">
        <f>E151-F151</f>
        <v>2400</v>
      </c>
      <c r="H151" s="130">
        <f>SUM(J151:N151)</f>
        <v>2400</v>
      </c>
      <c r="I151" s="131"/>
      <c r="J151" s="131"/>
      <c r="K151" s="131">
        <v>2400</v>
      </c>
      <c r="L151" s="156"/>
      <c r="M151" s="131">
        <v>0</v>
      </c>
      <c r="N151" s="131"/>
      <c r="O151" s="132" t="s">
        <v>202</v>
      </c>
      <c r="P151" s="272"/>
    </row>
    <row r="152" spans="1:16" s="111" customFormat="1" ht="61.5" customHeight="1">
      <c r="A152" s="331">
        <v>7</v>
      </c>
      <c r="B152" s="332" t="s">
        <v>70</v>
      </c>
      <c r="C152" s="307" t="s">
        <v>52</v>
      </c>
      <c r="D152" s="129">
        <v>61500</v>
      </c>
      <c r="E152" s="129">
        <f t="shared" si="30"/>
        <v>61500</v>
      </c>
      <c r="F152" s="129">
        <v>0</v>
      </c>
      <c r="G152" s="129">
        <f>E152-F152</f>
        <v>61500</v>
      </c>
      <c r="H152" s="130">
        <f t="shared" si="32"/>
        <v>61500</v>
      </c>
      <c r="I152" s="131"/>
      <c r="J152" s="131"/>
      <c r="K152" s="131">
        <v>61500</v>
      </c>
      <c r="L152" s="156"/>
      <c r="M152" s="131">
        <v>0</v>
      </c>
      <c r="N152" s="131"/>
      <c r="O152" s="132" t="s">
        <v>202</v>
      </c>
      <c r="P152" s="272"/>
    </row>
    <row r="153" spans="1:16" s="111" customFormat="1" ht="61.5" customHeight="1">
      <c r="A153" s="331">
        <v>8</v>
      </c>
      <c r="B153" s="332" t="s">
        <v>65</v>
      </c>
      <c r="C153" s="307" t="s">
        <v>52</v>
      </c>
      <c r="D153" s="129">
        <v>5</v>
      </c>
      <c r="E153" s="129">
        <f>D153</f>
        <v>5</v>
      </c>
      <c r="F153" s="129">
        <v>0</v>
      </c>
      <c r="G153" s="129">
        <f>E153-F153</f>
        <v>5</v>
      </c>
      <c r="H153" s="130">
        <f>SUM(J153:N153)</f>
        <v>5</v>
      </c>
      <c r="I153" s="131"/>
      <c r="J153" s="131"/>
      <c r="K153" s="131">
        <v>5</v>
      </c>
      <c r="L153" s="156"/>
      <c r="M153" s="131">
        <v>0</v>
      </c>
      <c r="N153" s="131"/>
      <c r="O153" s="132" t="s">
        <v>234</v>
      </c>
      <c r="P153" s="272"/>
    </row>
    <row r="154" spans="1:15" s="111" customFormat="1" ht="57" customHeight="1">
      <c r="A154" s="331">
        <v>9</v>
      </c>
      <c r="B154" s="332" t="s">
        <v>83</v>
      </c>
      <c r="C154" s="307" t="s">
        <v>52</v>
      </c>
      <c r="D154" s="129">
        <v>4097</v>
      </c>
      <c r="E154" s="129">
        <f t="shared" si="30"/>
        <v>4097</v>
      </c>
      <c r="F154" s="129">
        <v>0</v>
      </c>
      <c r="G154" s="129">
        <f t="shared" si="31"/>
        <v>4097</v>
      </c>
      <c r="H154" s="130">
        <f t="shared" si="32"/>
        <v>4097</v>
      </c>
      <c r="I154" s="131"/>
      <c r="J154" s="131">
        <v>4097</v>
      </c>
      <c r="K154" s="131">
        <v>0</v>
      </c>
      <c r="L154" s="156"/>
      <c r="M154" s="131">
        <v>0</v>
      </c>
      <c r="N154" s="131"/>
      <c r="O154" s="132" t="s">
        <v>234</v>
      </c>
    </row>
    <row r="155" spans="1:15" s="111" customFormat="1" ht="25.5" customHeight="1">
      <c r="A155" s="287"/>
      <c r="B155" s="171"/>
      <c r="C155" s="175" t="s">
        <v>187</v>
      </c>
      <c r="D155" s="142">
        <f>SUM(D146:D154)</f>
        <v>78077</v>
      </c>
      <c r="E155" s="142">
        <f aca="true" t="shared" si="33" ref="E155:N155">SUM(E146:E154)</f>
        <v>78077</v>
      </c>
      <c r="F155" s="142">
        <f t="shared" si="33"/>
        <v>0</v>
      </c>
      <c r="G155" s="142">
        <f t="shared" si="33"/>
        <v>78077</v>
      </c>
      <c r="H155" s="142">
        <f t="shared" si="33"/>
        <v>78077</v>
      </c>
      <c r="I155" s="142">
        <f t="shared" si="33"/>
        <v>0</v>
      </c>
      <c r="J155" s="142">
        <f t="shared" si="33"/>
        <v>4097</v>
      </c>
      <c r="K155" s="142">
        <f t="shared" si="33"/>
        <v>73980</v>
      </c>
      <c r="L155" s="142">
        <f t="shared" si="33"/>
        <v>0</v>
      </c>
      <c r="M155" s="142">
        <f t="shared" si="33"/>
        <v>0</v>
      </c>
      <c r="N155" s="142">
        <f t="shared" si="33"/>
        <v>0</v>
      </c>
      <c r="O155" s="151"/>
    </row>
    <row r="156" spans="1:15" s="111" customFormat="1" ht="19.5" customHeight="1">
      <c r="A156" s="287"/>
      <c r="B156" s="171"/>
      <c r="C156" s="134"/>
      <c r="D156" s="151"/>
      <c r="E156" s="151"/>
      <c r="F156" s="151"/>
      <c r="G156" s="151"/>
      <c r="H156" s="151"/>
      <c r="I156" s="151"/>
      <c r="J156" s="151"/>
      <c r="K156" s="151"/>
      <c r="L156" s="151"/>
      <c r="M156" s="151"/>
      <c r="N156" s="151"/>
      <c r="O156" s="151"/>
    </row>
    <row r="157" spans="1:15" s="111" customFormat="1" ht="36.75" customHeight="1" thickBot="1">
      <c r="A157" s="133" t="s">
        <v>390</v>
      </c>
      <c r="B157" s="134"/>
      <c r="C157" s="133"/>
      <c r="D157" s="137"/>
      <c r="E157" s="137"/>
      <c r="F157" s="137"/>
      <c r="G157" s="137"/>
      <c r="H157" s="137"/>
      <c r="I157" s="137"/>
      <c r="J157" s="137"/>
      <c r="K157" s="137"/>
      <c r="L157" s="137"/>
      <c r="M157" s="137"/>
      <c r="N157" s="124" t="s">
        <v>185</v>
      </c>
      <c r="O157" s="136"/>
    </row>
    <row r="158" spans="1:15" s="111" customFormat="1" ht="51.75" customHeight="1" thickBot="1">
      <c r="A158" s="293" t="s">
        <v>186</v>
      </c>
      <c r="B158" s="294" t="s">
        <v>188</v>
      </c>
      <c r="C158" s="295" t="s">
        <v>223</v>
      </c>
      <c r="D158" s="294" t="s">
        <v>457</v>
      </c>
      <c r="E158" s="296" t="s">
        <v>220</v>
      </c>
      <c r="F158" s="297" t="s">
        <v>458</v>
      </c>
      <c r="G158" s="297" t="s">
        <v>278</v>
      </c>
      <c r="H158" s="297" t="s">
        <v>459</v>
      </c>
      <c r="I158" s="125" t="s">
        <v>222</v>
      </c>
      <c r="J158" s="126" t="s">
        <v>221</v>
      </c>
      <c r="K158" s="298" t="s">
        <v>254</v>
      </c>
      <c r="L158" s="297" t="s">
        <v>432</v>
      </c>
      <c r="M158" s="297" t="s">
        <v>192</v>
      </c>
      <c r="N158" s="299" t="s">
        <v>204</v>
      </c>
      <c r="O158" s="123"/>
    </row>
    <row r="159" spans="1:15" s="111" customFormat="1" ht="60" customHeight="1">
      <c r="A159" s="127">
        <v>1</v>
      </c>
      <c r="B159" s="186" t="s">
        <v>385</v>
      </c>
      <c r="C159" s="315" t="s">
        <v>471</v>
      </c>
      <c r="D159" s="129">
        <v>100</v>
      </c>
      <c r="E159" s="129">
        <f>D159</f>
        <v>100</v>
      </c>
      <c r="F159" s="129">
        <v>0</v>
      </c>
      <c r="G159" s="129">
        <f>E159-F159</f>
        <v>100</v>
      </c>
      <c r="H159" s="130">
        <f>SUM(I159:N159)</f>
        <v>100</v>
      </c>
      <c r="I159" s="131"/>
      <c r="J159" s="131"/>
      <c r="K159" s="328"/>
      <c r="L159" s="329"/>
      <c r="M159" s="330">
        <v>100</v>
      </c>
      <c r="N159" s="328"/>
      <c r="O159" s="252" t="s">
        <v>225</v>
      </c>
    </row>
    <row r="160" spans="1:15" s="111" customFormat="1" ht="28.5" customHeight="1">
      <c r="A160" s="133"/>
      <c r="B160" s="134"/>
      <c r="C160" s="133" t="s">
        <v>187</v>
      </c>
      <c r="D160" s="135">
        <f aca="true" t="shared" si="34" ref="D160:N160">SUM(D159:D159)</f>
        <v>100</v>
      </c>
      <c r="E160" s="135">
        <f t="shared" si="34"/>
        <v>100</v>
      </c>
      <c r="F160" s="135">
        <f t="shared" si="34"/>
        <v>0</v>
      </c>
      <c r="G160" s="135">
        <f t="shared" si="34"/>
        <v>100</v>
      </c>
      <c r="H160" s="135">
        <f t="shared" si="34"/>
        <v>100</v>
      </c>
      <c r="I160" s="135">
        <f t="shared" si="34"/>
        <v>0</v>
      </c>
      <c r="J160" s="135">
        <f t="shared" si="34"/>
        <v>0</v>
      </c>
      <c r="K160" s="135">
        <f t="shared" si="34"/>
        <v>0</v>
      </c>
      <c r="L160" s="135">
        <f t="shared" si="34"/>
        <v>0</v>
      </c>
      <c r="M160" s="135">
        <f t="shared" si="34"/>
        <v>100</v>
      </c>
      <c r="N160" s="135">
        <f t="shared" si="34"/>
        <v>0</v>
      </c>
      <c r="O160" s="136"/>
    </row>
    <row r="161" spans="1:15" s="111" customFormat="1" ht="19.5" customHeight="1">
      <c r="A161" s="287"/>
      <c r="B161" s="171"/>
      <c r="C161" s="134"/>
      <c r="D161" s="151"/>
      <c r="E161" s="151"/>
      <c r="F161" s="151"/>
      <c r="G161" s="151"/>
      <c r="H161" s="151"/>
      <c r="I161" s="151"/>
      <c r="J161" s="151"/>
      <c r="K161" s="151"/>
      <c r="L161" s="151"/>
      <c r="M161" s="151"/>
      <c r="N161" s="151"/>
      <c r="O161" s="151"/>
    </row>
    <row r="162" spans="1:15" s="111" customFormat="1" ht="12" customHeight="1">
      <c r="A162" s="204"/>
      <c r="B162" s="205"/>
      <c r="C162" s="133"/>
      <c r="D162" s="137"/>
      <c r="E162" s="137"/>
      <c r="F162" s="137"/>
      <c r="G162" s="137"/>
      <c r="H162" s="137"/>
      <c r="I162" s="137"/>
      <c r="J162" s="137"/>
      <c r="K162" s="137"/>
      <c r="L162" s="137"/>
      <c r="M162" s="137"/>
      <c r="N162" s="137"/>
      <c r="O162" s="151"/>
    </row>
    <row r="163" spans="1:15" ht="15.75">
      <c r="A163" s="204"/>
      <c r="C163" s="300" t="s">
        <v>391</v>
      </c>
      <c r="D163" s="219"/>
      <c r="F163" s="288" t="s">
        <v>303</v>
      </c>
      <c r="G163" s="137"/>
      <c r="H163" s="137"/>
      <c r="I163" s="137"/>
      <c r="J163" s="137"/>
      <c r="K163" s="219"/>
      <c r="L163" s="211" t="s">
        <v>142</v>
      </c>
      <c r="M163" s="219"/>
      <c r="N163" s="137"/>
      <c r="O163" s="138"/>
    </row>
    <row r="164" spans="1:15" s="185" customFormat="1" ht="15">
      <c r="A164" s="72"/>
      <c r="C164" s="300" t="s">
        <v>392</v>
      </c>
      <c r="D164" s="220"/>
      <c r="E164" s="31"/>
      <c r="F164" s="77"/>
      <c r="G164" s="77"/>
      <c r="H164" s="111"/>
      <c r="I164" s="77"/>
      <c r="J164" s="111"/>
      <c r="K164" s="220"/>
      <c r="L164" s="230" t="s">
        <v>296</v>
      </c>
      <c r="M164" s="220"/>
      <c r="N164" s="33"/>
      <c r="O164" s="15"/>
    </row>
    <row r="165" spans="1:15" s="185" customFormat="1" ht="15">
      <c r="A165" s="59"/>
      <c r="B165" s="15"/>
      <c r="C165" s="234" t="s">
        <v>302</v>
      </c>
      <c r="D165" s="211"/>
      <c r="E165" s="77"/>
      <c r="F165" s="31"/>
      <c r="G165" s="289" t="s">
        <v>305</v>
      </c>
      <c r="I165" s="116"/>
      <c r="J165" s="111"/>
      <c r="K165" s="202"/>
      <c r="L165" s="202"/>
      <c r="M165" s="202"/>
      <c r="N165" s="33"/>
      <c r="O165" s="15"/>
    </row>
    <row r="166" spans="1:14" s="185" customFormat="1" ht="15">
      <c r="A166" s="59"/>
      <c r="B166" s="15"/>
      <c r="C166" s="234" t="s">
        <v>313</v>
      </c>
      <c r="D166" s="211"/>
      <c r="E166" s="15"/>
      <c r="F166" s="15"/>
      <c r="G166" s="12" t="s">
        <v>410</v>
      </c>
      <c r="I166" s="182"/>
      <c r="J166" s="111"/>
      <c r="K166" s="202"/>
      <c r="L166" s="201" t="s">
        <v>297</v>
      </c>
      <c r="M166" s="230"/>
      <c r="N166" s="33"/>
    </row>
    <row r="167" spans="1:15" ht="15">
      <c r="A167" s="216"/>
      <c r="B167" s="182"/>
      <c r="C167" s="31"/>
      <c r="D167" s="31"/>
      <c r="E167" s="217"/>
      <c r="F167" s="31"/>
      <c r="G167" s="304" t="s">
        <v>407</v>
      </c>
      <c r="H167" s="15"/>
      <c r="I167" s="15"/>
      <c r="J167" s="215"/>
      <c r="K167" s="284"/>
      <c r="L167" s="201" t="s">
        <v>298</v>
      </c>
      <c r="M167" s="211"/>
      <c r="N167" s="33"/>
      <c r="O167" s="185"/>
    </row>
    <row r="168" spans="1:14" ht="15">
      <c r="A168" s="216"/>
      <c r="B168" s="182"/>
      <c r="C168" s="182"/>
      <c r="D168" s="214"/>
      <c r="E168" s="182"/>
      <c r="F168" s="185"/>
      <c r="G168" s="182"/>
      <c r="H168" s="214"/>
      <c r="I168" s="217"/>
      <c r="J168" s="31"/>
      <c r="K168" s="182"/>
      <c r="L168" s="185"/>
      <c r="M168" s="185"/>
      <c r="N168" s="185"/>
    </row>
    <row r="169" spans="1:14" ht="14.25">
      <c r="A169" s="214"/>
      <c r="B169" s="214"/>
      <c r="C169" s="214"/>
      <c r="D169" s="214"/>
      <c r="E169" s="214"/>
      <c r="G169" s="214"/>
      <c r="H169" s="214"/>
      <c r="I169" s="214"/>
      <c r="J169" s="214"/>
      <c r="K169" s="215"/>
      <c r="L169" s="31"/>
      <c r="M169" s="182"/>
      <c r="N169" s="33"/>
    </row>
    <row r="170" spans="1:14" ht="12.75">
      <c r="A170" s="12"/>
      <c r="B170" s="12"/>
      <c r="C170" s="12"/>
      <c r="D170" s="12"/>
      <c r="E170" s="12"/>
      <c r="F170" s="12"/>
      <c r="G170" s="12"/>
      <c r="H170" s="12"/>
      <c r="I170" s="12"/>
      <c r="K170" s="12"/>
      <c r="L170" s="12"/>
      <c r="M170" s="162"/>
      <c r="N170" s="12"/>
    </row>
    <row r="171" spans="1:14" ht="12.75">
      <c r="A171" s="12"/>
      <c r="B171" s="218"/>
      <c r="C171" s="12"/>
      <c r="D171" s="12"/>
      <c r="E171" s="12"/>
      <c r="F171" s="12"/>
      <c r="G171" s="12"/>
      <c r="H171" s="12"/>
      <c r="I171" s="12"/>
      <c r="K171" s="12"/>
      <c r="L171" s="12"/>
      <c r="M171" s="162"/>
      <c r="N171" s="12"/>
    </row>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sheetData>
  <sheetProtection/>
  <mergeCells count="1">
    <mergeCell ref="A8:O8"/>
  </mergeCells>
  <printOptions/>
  <pageMargins left="0.5118110236220472" right="0.5905511811023623" top="0.5905511811023623" bottom="0.7874015748031497" header="0.35433070866141736" footer="0.7874015748031497"/>
  <pageSetup horizontalDpi="600" verticalDpi="600" orientation="landscape" paperSize="9" scale="92" r:id="rId4"/>
  <headerFooter alignWithMargins="0">
    <oddFooter xml:space="preserve">&amp;C&amp;8Pagina &amp;P din &amp;N&amp;R&amp;8(L1) HCL nr. din
Dotări independente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6"/>
  </sheetPr>
  <dimension ref="A1:S99"/>
  <sheetViews>
    <sheetView tabSelected="1" zoomScale="85" zoomScaleNormal="85" zoomScaleSheetLayoutView="100" zoomScalePageLayoutView="0" workbookViewId="0" topLeftCell="A1">
      <selection activeCell="S21" sqref="S21"/>
    </sheetView>
  </sheetViews>
  <sheetFormatPr defaultColWidth="9.140625" defaultRowHeight="12.75"/>
  <cols>
    <col min="1" max="1" width="3.7109375" style="12" customWidth="1"/>
    <col min="2" max="2" width="37.8515625" style="12" customWidth="1"/>
    <col min="3" max="3" width="12.421875" style="12" customWidth="1"/>
    <col min="4" max="4" width="8.00390625" style="12" customWidth="1"/>
    <col min="5" max="5" width="8.421875" style="12" customWidth="1"/>
    <col min="6" max="6" width="7.57421875" style="12" customWidth="1"/>
    <col min="7" max="7" width="8.00390625" style="12" customWidth="1"/>
    <col min="8" max="8" width="8.28125" style="12" customWidth="1"/>
    <col min="9" max="10" width="6.8515625" style="12" customWidth="1"/>
    <col min="11" max="11" width="7.57421875" style="12" customWidth="1"/>
    <col min="12" max="12" width="7.140625" style="12" customWidth="1"/>
    <col min="13" max="13" width="7.140625" style="162" customWidth="1"/>
    <col min="14" max="14" width="5.140625" style="12" customWidth="1"/>
    <col min="15" max="15" width="5.7109375" style="163" customWidth="1"/>
    <col min="16" max="16384" width="9.140625" style="12" customWidth="1"/>
  </cols>
  <sheetData>
    <row r="1" spans="1:14" ht="39.75" customHeight="1">
      <c r="A1" s="100"/>
      <c r="B1" s="101"/>
      <c r="F1" s="181" t="s">
        <v>244</v>
      </c>
      <c r="G1" s="181"/>
      <c r="H1" s="181"/>
      <c r="I1" s="181"/>
      <c r="K1" s="278"/>
      <c r="L1" s="279"/>
      <c r="N1" s="12" t="s">
        <v>248</v>
      </c>
    </row>
    <row r="2" spans="1:12" ht="21.75" customHeight="1">
      <c r="A2" s="100"/>
      <c r="B2" s="103"/>
      <c r="E2" s="210"/>
      <c r="F2" s="291" t="s">
        <v>193</v>
      </c>
      <c r="G2" s="291"/>
      <c r="H2" s="291"/>
      <c r="I2" s="291"/>
      <c r="J2" s="291" t="s">
        <v>194</v>
      </c>
      <c r="K2" s="210"/>
      <c r="L2" s="181"/>
    </row>
    <row r="3" spans="1:12" ht="11.25" customHeight="1">
      <c r="A3" s="100"/>
      <c r="B3" s="103"/>
      <c r="E3" s="210"/>
      <c r="F3" s="291" t="s">
        <v>143</v>
      </c>
      <c r="G3" s="201"/>
      <c r="H3" s="201"/>
      <c r="I3" s="202"/>
      <c r="J3" s="291" t="s">
        <v>257</v>
      </c>
      <c r="K3" s="210"/>
      <c r="L3" s="181"/>
    </row>
    <row r="4" spans="1:11" ht="15" customHeight="1">
      <c r="A4" s="100"/>
      <c r="B4" s="103" t="s">
        <v>455</v>
      </c>
      <c r="E4" s="210"/>
      <c r="F4" s="291" t="s">
        <v>12</v>
      </c>
      <c r="G4" s="201"/>
      <c r="H4" s="211"/>
      <c r="I4" s="210"/>
      <c r="J4" s="291" t="s">
        <v>312</v>
      </c>
      <c r="K4" s="210"/>
    </row>
    <row r="5" spans="1:11" ht="15.75" customHeight="1">
      <c r="A5" s="100"/>
      <c r="B5" s="103"/>
      <c r="E5" s="210"/>
      <c r="F5" s="303" t="s">
        <v>144</v>
      </c>
      <c r="G5" s="201"/>
      <c r="H5" s="211"/>
      <c r="I5" s="210"/>
      <c r="J5" s="210"/>
      <c r="K5" s="292"/>
    </row>
    <row r="6" spans="1:11" ht="52.5" customHeight="1">
      <c r="A6" s="100"/>
      <c r="B6" s="103"/>
      <c r="G6" s="182"/>
      <c r="H6" s="15"/>
      <c r="K6" s="105"/>
    </row>
    <row r="7" spans="1:14" ht="44.25" customHeight="1">
      <c r="A7" s="405" t="s">
        <v>456</v>
      </c>
      <c r="B7" s="404"/>
      <c r="C7" s="404"/>
      <c r="D7" s="404"/>
      <c r="E7" s="404"/>
      <c r="F7" s="404"/>
      <c r="G7" s="404"/>
      <c r="H7" s="404"/>
      <c r="I7" s="404"/>
      <c r="J7" s="404"/>
      <c r="K7" s="404"/>
      <c r="L7" s="404"/>
      <c r="M7" s="407"/>
      <c r="N7" s="407"/>
    </row>
    <row r="8" spans="1:12" ht="12.75" customHeight="1">
      <c r="A8" s="287"/>
      <c r="B8" s="286"/>
      <c r="C8" s="286"/>
      <c r="D8" s="286"/>
      <c r="E8" s="286"/>
      <c r="F8" s="286"/>
      <c r="G8" s="286"/>
      <c r="H8" s="286"/>
      <c r="I8" s="286"/>
      <c r="J8" s="286"/>
      <c r="K8" s="286"/>
      <c r="L8" s="286"/>
    </row>
    <row r="9" spans="1:15" s="110" customFormat="1" ht="36.75" customHeight="1" hidden="1" thickBot="1">
      <c r="A9" s="106" t="s">
        <v>272</v>
      </c>
      <c r="B9" s="13"/>
      <c r="C9" s="107"/>
      <c r="D9" s="13"/>
      <c r="E9" s="108"/>
      <c r="F9" s="13"/>
      <c r="G9" s="13"/>
      <c r="H9" s="13"/>
      <c r="I9" s="13"/>
      <c r="J9" s="13"/>
      <c r="K9" s="13"/>
      <c r="L9" s="109" t="s">
        <v>185</v>
      </c>
      <c r="M9" s="102"/>
      <c r="O9" s="163"/>
    </row>
    <row r="10" spans="1:15" s="15" customFormat="1" ht="57" customHeight="1" hidden="1" thickBot="1">
      <c r="A10" s="293" t="s">
        <v>186</v>
      </c>
      <c r="B10" s="294" t="s">
        <v>188</v>
      </c>
      <c r="C10" s="295" t="s">
        <v>223</v>
      </c>
      <c r="D10" s="294" t="s">
        <v>457</v>
      </c>
      <c r="E10" s="296" t="s">
        <v>220</v>
      </c>
      <c r="F10" s="297" t="s">
        <v>458</v>
      </c>
      <c r="G10" s="297" t="s">
        <v>278</v>
      </c>
      <c r="H10" s="297" t="s">
        <v>459</v>
      </c>
      <c r="I10" s="125" t="s">
        <v>222</v>
      </c>
      <c r="J10" s="126" t="s">
        <v>221</v>
      </c>
      <c r="K10" s="298" t="s">
        <v>254</v>
      </c>
      <c r="L10" s="297" t="s">
        <v>432</v>
      </c>
      <c r="M10" s="297" t="s">
        <v>192</v>
      </c>
      <c r="N10" s="299" t="s">
        <v>204</v>
      </c>
      <c r="O10" s="164"/>
    </row>
    <row r="11" spans="1:15" s="111" customFormat="1" ht="59.25" customHeight="1" hidden="1">
      <c r="A11" s="222">
        <v>1</v>
      </c>
      <c r="B11" s="223"/>
      <c r="C11" s="224"/>
      <c r="D11" s="172">
        <v>0</v>
      </c>
      <c r="E11" s="172">
        <f>D11</f>
        <v>0</v>
      </c>
      <c r="F11" s="172">
        <v>0</v>
      </c>
      <c r="G11" s="173">
        <f>E11-F11</f>
        <v>0</v>
      </c>
      <c r="H11" s="174">
        <f>SUM(I11:N11)</f>
        <v>0</v>
      </c>
      <c r="I11" s="172"/>
      <c r="J11" s="172"/>
      <c r="K11" s="172"/>
      <c r="L11" s="172"/>
      <c r="M11" s="172">
        <v>0</v>
      </c>
      <c r="N11" s="172"/>
      <c r="O11" s="169" t="s">
        <v>203</v>
      </c>
    </row>
    <row r="12" spans="1:14" ht="18.75" customHeight="1" hidden="1">
      <c r="A12" s="287"/>
      <c r="C12" s="225" t="s">
        <v>187</v>
      </c>
      <c r="D12" s="226">
        <f aca="true" t="shared" si="0" ref="D12:N12">SUM(D11:D11)</f>
        <v>0</v>
      </c>
      <c r="E12" s="226">
        <f t="shared" si="0"/>
        <v>0</v>
      </c>
      <c r="F12" s="226">
        <f t="shared" si="0"/>
        <v>0</v>
      </c>
      <c r="G12" s="226">
        <f t="shared" si="0"/>
        <v>0</v>
      </c>
      <c r="H12" s="226">
        <f t="shared" si="0"/>
        <v>0</v>
      </c>
      <c r="I12" s="226">
        <f t="shared" si="0"/>
        <v>0</v>
      </c>
      <c r="J12" s="226">
        <f t="shared" si="0"/>
        <v>0</v>
      </c>
      <c r="K12" s="226">
        <f t="shared" si="0"/>
        <v>0</v>
      </c>
      <c r="L12" s="226">
        <f t="shared" si="0"/>
        <v>0</v>
      </c>
      <c r="M12" s="226">
        <f t="shared" si="0"/>
        <v>0</v>
      </c>
      <c r="N12" s="226">
        <f t="shared" si="0"/>
        <v>0</v>
      </c>
    </row>
    <row r="13" spans="1:14" ht="20.25" customHeight="1" hidden="1">
      <c r="A13" s="287"/>
      <c r="C13" s="141"/>
      <c r="D13" s="240"/>
      <c r="E13" s="240"/>
      <c r="F13" s="240"/>
      <c r="G13" s="240"/>
      <c r="H13" s="240"/>
      <c r="I13" s="240"/>
      <c r="J13" s="240"/>
      <c r="K13" s="240"/>
      <c r="L13" s="240"/>
      <c r="M13" s="240"/>
      <c r="N13" s="240"/>
    </row>
    <row r="14" spans="1:14" ht="20.25" customHeight="1" hidden="1">
      <c r="A14" s="287"/>
      <c r="C14" s="134"/>
      <c r="D14" s="151"/>
      <c r="E14" s="151"/>
      <c r="F14" s="151"/>
      <c r="G14" s="151"/>
      <c r="H14" s="151"/>
      <c r="I14" s="151"/>
      <c r="J14" s="151"/>
      <c r="K14" s="151"/>
      <c r="L14" s="151"/>
      <c r="M14" s="151"/>
      <c r="N14" s="151"/>
    </row>
    <row r="15" spans="1:14" ht="20.25" customHeight="1" hidden="1" thickBot="1">
      <c r="A15" s="106" t="s">
        <v>263</v>
      </c>
      <c r="B15" s="13"/>
      <c r="C15" s="107"/>
      <c r="D15" s="13"/>
      <c r="E15" s="108"/>
      <c r="F15" s="13"/>
      <c r="G15" s="13"/>
      <c r="H15" s="13"/>
      <c r="I15" s="13"/>
      <c r="J15" s="13"/>
      <c r="K15" s="13"/>
      <c r="L15" s="109" t="s">
        <v>185</v>
      </c>
      <c r="M15" s="102"/>
      <c r="N15" s="110"/>
    </row>
    <row r="16" spans="1:15" ht="64.5" customHeight="1" hidden="1" thickBot="1">
      <c r="A16" s="293" t="s">
        <v>186</v>
      </c>
      <c r="B16" s="294" t="s">
        <v>188</v>
      </c>
      <c r="C16" s="295" t="s">
        <v>223</v>
      </c>
      <c r="D16" s="294" t="s">
        <v>457</v>
      </c>
      <c r="E16" s="296" t="s">
        <v>220</v>
      </c>
      <c r="F16" s="297" t="s">
        <v>458</v>
      </c>
      <c r="G16" s="297" t="s">
        <v>278</v>
      </c>
      <c r="H16" s="297" t="s">
        <v>459</v>
      </c>
      <c r="I16" s="125" t="s">
        <v>222</v>
      </c>
      <c r="J16" s="126" t="s">
        <v>221</v>
      </c>
      <c r="K16" s="298" t="s">
        <v>254</v>
      </c>
      <c r="L16" s="297" t="s">
        <v>432</v>
      </c>
      <c r="M16" s="297" t="s">
        <v>192</v>
      </c>
      <c r="N16" s="299" t="s">
        <v>204</v>
      </c>
      <c r="O16" s="164"/>
    </row>
    <row r="17" spans="1:15" ht="19.5" customHeight="1" hidden="1">
      <c r="A17" s="176">
        <v>1</v>
      </c>
      <c r="B17" s="221"/>
      <c r="C17" s="170"/>
      <c r="D17" s="227"/>
      <c r="E17" s="227"/>
      <c r="F17" s="227"/>
      <c r="G17" s="228"/>
      <c r="H17" s="139"/>
      <c r="I17" s="227"/>
      <c r="J17" s="227"/>
      <c r="K17" s="227"/>
      <c r="L17" s="227"/>
      <c r="M17" s="227"/>
      <c r="N17" s="227"/>
      <c r="O17" s="169" t="s">
        <v>203</v>
      </c>
    </row>
    <row r="18" spans="1:14" ht="19.5" customHeight="1" hidden="1">
      <c r="A18" s="287"/>
      <c r="C18" s="175" t="s">
        <v>187</v>
      </c>
      <c r="D18" s="142">
        <f>SUM(D17)</f>
        <v>0</v>
      </c>
      <c r="E18" s="142">
        <f aca="true" t="shared" si="1" ref="E18:N18">SUM(E17)</f>
        <v>0</v>
      </c>
      <c r="F18" s="142">
        <f t="shared" si="1"/>
        <v>0</v>
      </c>
      <c r="G18" s="142">
        <f t="shared" si="1"/>
        <v>0</v>
      </c>
      <c r="H18" s="142">
        <f t="shared" si="1"/>
        <v>0</v>
      </c>
      <c r="I18" s="142">
        <f t="shared" si="1"/>
        <v>0</v>
      </c>
      <c r="J18" s="142">
        <f t="shared" si="1"/>
        <v>0</v>
      </c>
      <c r="K18" s="142">
        <f t="shared" si="1"/>
        <v>0</v>
      </c>
      <c r="L18" s="142">
        <f t="shared" si="1"/>
        <v>0</v>
      </c>
      <c r="M18" s="142">
        <f t="shared" si="1"/>
        <v>0</v>
      </c>
      <c r="N18" s="142">
        <f t="shared" si="1"/>
        <v>0</v>
      </c>
    </row>
    <row r="19" spans="1:14" ht="22.5" customHeight="1" hidden="1">
      <c r="A19" s="287"/>
      <c r="C19" s="134"/>
      <c r="D19" s="151"/>
      <c r="E19" s="151"/>
      <c r="F19" s="151"/>
      <c r="G19" s="151"/>
      <c r="H19" s="151"/>
      <c r="I19" s="151"/>
      <c r="J19" s="151"/>
      <c r="K19" s="151"/>
      <c r="L19" s="151"/>
      <c r="M19" s="151"/>
      <c r="N19" s="151"/>
    </row>
    <row r="20" spans="1:14" ht="24.75" customHeight="1">
      <c r="A20" s="287"/>
      <c r="C20" s="134"/>
      <c r="D20" s="151"/>
      <c r="E20" s="151"/>
      <c r="F20" s="151"/>
      <c r="G20" s="151"/>
      <c r="H20" s="151"/>
      <c r="I20" s="151"/>
      <c r="J20" s="151"/>
      <c r="K20" s="151"/>
      <c r="L20" s="151"/>
      <c r="M20" s="151"/>
      <c r="N20" s="151"/>
    </row>
    <row r="21" spans="1:15" s="110" customFormat="1" ht="22.5" customHeight="1" thickBot="1">
      <c r="A21" s="106" t="s">
        <v>273</v>
      </c>
      <c r="B21" s="13"/>
      <c r="C21" s="107"/>
      <c r="D21" s="13"/>
      <c r="E21" s="108"/>
      <c r="F21" s="13"/>
      <c r="G21" s="13"/>
      <c r="H21" s="13"/>
      <c r="I21" s="13"/>
      <c r="J21" s="105"/>
      <c r="L21" s="162"/>
      <c r="N21" s="148" t="s">
        <v>185</v>
      </c>
      <c r="O21" s="163"/>
    </row>
    <row r="22" spans="1:15" s="15" customFormat="1" ht="54.75" customHeight="1">
      <c r="A22" s="380" t="s">
        <v>186</v>
      </c>
      <c r="B22" s="381" t="s">
        <v>188</v>
      </c>
      <c r="C22" s="382" t="s">
        <v>223</v>
      </c>
      <c r="D22" s="381" t="s">
        <v>457</v>
      </c>
      <c r="E22" s="383" t="s">
        <v>220</v>
      </c>
      <c r="F22" s="384" t="s">
        <v>458</v>
      </c>
      <c r="G22" s="384" t="s">
        <v>278</v>
      </c>
      <c r="H22" s="384" t="s">
        <v>459</v>
      </c>
      <c r="I22" s="385" t="s">
        <v>222</v>
      </c>
      <c r="J22" s="386" t="s">
        <v>221</v>
      </c>
      <c r="K22" s="387" t="s">
        <v>254</v>
      </c>
      <c r="L22" s="384" t="s">
        <v>432</v>
      </c>
      <c r="M22" s="384" t="s">
        <v>192</v>
      </c>
      <c r="N22" s="388" t="s">
        <v>204</v>
      </c>
      <c r="O22" s="164"/>
    </row>
    <row r="23" spans="1:15" s="15" customFormat="1" ht="63" customHeight="1">
      <c r="A23" s="314">
        <v>1</v>
      </c>
      <c r="B23" s="186" t="s">
        <v>495</v>
      </c>
      <c r="C23" s="315" t="s">
        <v>524</v>
      </c>
      <c r="D23" s="249">
        <v>10</v>
      </c>
      <c r="E23" s="249">
        <f>D23</f>
        <v>10</v>
      </c>
      <c r="F23" s="249">
        <v>0</v>
      </c>
      <c r="G23" s="250">
        <f>E23-F23</f>
        <v>10</v>
      </c>
      <c r="H23" s="251">
        <f>SUM(I23:M23)</f>
        <v>10</v>
      </c>
      <c r="I23" s="249"/>
      <c r="J23" s="249"/>
      <c r="K23" s="249"/>
      <c r="L23" s="249"/>
      <c r="M23" s="249">
        <v>10</v>
      </c>
      <c r="N23" s="249"/>
      <c r="O23" s="169" t="s">
        <v>205</v>
      </c>
    </row>
    <row r="24" spans="1:14" ht="28.5" customHeight="1">
      <c r="A24" s="287"/>
      <c r="C24" s="175" t="s">
        <v>187</v>
      </c>
      <c r="D24" s="142">
        <f aca="true" t="shared" si="2" ref="D24:N24">SUM(D23:D23)</f>
        <v>10</v>
      </c>
      <c r="E24" s="142">
        <f t="shared" si="2"/>
        <v>10</v>
      </c>
      <c r="F24" s="142">
        <f t="shared" si="2"/>
        <v>0</v>
      </c>
      <c r="G24" s="142">
        <f t="shared" si="2"/>
        <v>10</v>
      </c>
      <c r="H24" s="142">
        <f t="shared" si="2"/>
        <v>10</v>
      </c>
      <c r="I24" s="142">
        <f t="shared" si="2"/>
        <v>0</v>
      </c>
      <c r="J24" s="142">
        <f t="shared" si="2"/>
        <v>0</v>
      </c>
      <c r="K24" s="142">
        <f t="shared" si="2"/>
        <v>0</v>
      </c>
      <c r="L24" s="142">
        <f t="shared" si="2"/>
        <v>0</v>
      </c>
      <c r="M24" s="142">
        <f t="shared" si="2"/>
        <v>10</v>
      </c>
      <c r="N24" s="142">
        <f t="shared" si="2"/>
        <v>0</v>
      </c>
    </row>
    <row r="25" spans="1:14" ht="28.5" customHeight="1">
      <c r="A25" s="287"/>
      <c r="C25" s="134"/>
      <c r="D25" s="151"/>
      <c r="E25" s="151"/>
      <c r="F25" s="151"/>
      <c r="G25" s="151"/>
      <c r="H25" s="151"/>
      <c r="I25" s="151"/>
      <c r="J25" s="151"/>
      <c r="K25" s="151"/>
      <c r="L25" s="151"/>
      <c r="M25" s="151"/>
      <c r="N25" s="151"/>
    </row>
    <row r="26" spans="1:14" ht="28.5" customHeight="1">
      <c r="A26" s="287"/>
      <c r="C26" s="134"/>
      <c r="D26" s="151"/>
      <c r="E26" s="151"/>
      <c r="F26" s="151"/>
      <c r="G26" s="151"/>
      <c r="H26" s="151"/>
      <c r="I26" s="151"/>
      <c r="J26" s="151"/>
      <c r="K26" s="151"/>
      <c r="L26" s="151"/>
      <c r="M26" s="151"/>
      <c r="N26" s="151"/>
    </row>
    <row r="27" spans="1:15" s="110" customFormat="1" ht="45.75" customHeight="1" thickBot="1">
      <c r="A27" s="88" t="s">
        <v>275</v>
      </c>
      <c r="C27" s="18"/>
      <c r="D27" s="13"/>
      <c r="E27" s="108"/>
      <c r="F27" s="13"/>
      <c r="G27" s="13"/>
      <c r="H27" s="13"/>
      <c r="I27" s="13"/>
      <c r="J27" s="105"/>
      <c r="K27" s="109"/>
      <c r="L27" s="162"/>
      <c r="N27" s="148" t="s">
        <v>185</v>
      </c>
      <c r="O27" s="163"/>
    </row>
    <row r="28" spans="1:15" s="15" customFormat="1" ht="54.75" customHeight="1" thickBot="1">
      <c r="A28" s="293" t="s">
        <v>186</v>
      </c>
      <c r="B28" s="294" t="s">
        <v>188</v>
      </c>
      <c r="C28" s="295" t="s">
        <v>223</v>
      </c>
      <c r="D28" s="294" t="s">
        <v>457</v>
      </c>
      <c r="E28" s="296" t="s">
        <v>220</v>
      </c>
      <c r="F28" s="297" t="s">
        <v>458</v>
      </c>
      <c r="G28" s="297" t="s">
        <v>278</v>
      </c>
      <c r="H28" s="297" t="s">
        <v>459</v>
      </c>
      <c r="I28" s="125" t="s">
        <v>222</v>
      </c>
      <c r="J28" s="126" t="s">
        <v>221</v>
      </c>
      <c r="K28" s="298" t="s">
        <v>254</v>
      </c>
      <c r="L28" s="297" t="s">
        <v>432</v>
      </c>
      <c r="M28" s="297" t="s">
        <v>192</v>
      </c>
      <c r="N28" s="299" t="s">
        <v>204</v>
      </c>
      <c r="O28" s="164"/>
    </row>
    <row r="29" spans="1:15" s="15" customFormat="1" ht="71.25" customHeight="1">
      <c r="A29" s="355">
        <v>1</v>
      </c>
      <c r="B29" s="187" t="s">
        <v>145</v>
      </c>
      <c r="C29" s="315" t="s">
        <v>52</v>
      </c>
      <c r="D29" s="188">
        <v>49888</v>
      </c>
      <c r="E29" s="188">
        <f aca="true" t="shared" si="3" ref="E29:E35">D29</f>
        <v>49888</v>
      </c>
      <c r="F29" s="188">
        <v>0</v>
      </c>
      <c r="G29" s="186">
        <f>E29-F29</f>
        <v>49888</v>
      </c>
      <c r="H29" s="139">
        <f>SUM(I29:N29)</f>
        <v>49888</v>
      </c>
      <c r="I29" s="188"/>
      <c r="J29" s="188"/>
      <c r="K29" s="188">
        <v>49888</v>
      </c>
      <c r="L29" s="188">
        <v>0</v>
      </c>
      <c r="M29" s="378">
        <v>0</v>
      </c>
      <c r="N29" s="280">
        <v>0</v>
      </c>
      <c r="O29" s="169" t="s">
        <v>205</v>
      </c>
    </row>
    <row r="30" spans="1:15" s="15" customFormat="1" ht="71.25" customHeight="1">
      <c r="A30" s="355">
        <v>2</v>
      </c>
      <c r="B30" s="187" t="s">
        <v>139</v>
      </c>
      <c r="C30" s="315" t="s">
        <v>295</v>
      </c>
      <c r="D30" s="188">
        <v>750</v>
      </c>
      <c r="E30" s="188">
        <f t="shared" si="3"/>
        <v>750</v>
      </c>
      <c r="F30" s="188">
        <v>0</v>
      </c>
      <c r="G30" s="186">
        <f>E30-F30</f>
        <v>750</v>
      </c>
      <c r="H30" s="139">
        <f>SUM(I30:N30)</f>
        <v>750</v>
      </c>
      <c r="I30" s="188"/>
      <c r="J30" s="188"/>
      <c r="K30" s="188"/>
      <c r="L30" s="188">
        <v>750</v>
      </c>
      <c r="M30" s="188">
        <v>0</v>
      </c>
      <c r="N30" s="188">
        <v>0</v>
      </c>
      <c r="O30" s="169" t="s">
        <v>205</v>
      </c>
    </row>
    <row r="31" spans="1:15" s="15" customFormat="1" ht="71.25" customHeight="1">
      <c r="A31" s="355">
        <v>3</v>
      </c>
      <c r="B31" s="253" t="s">
        <v>134</v>
      </c>
      <c r="C31" s="306" t="s">
        <v>295</v>
      </c>
      <c r="D31" s="254">
        <v>1000</v>
      </c>
      <c r="E31" s="254">
        <f t="shared" si="3"/>
        <v>1000</v>
      </c>
      <c r="F31" s="255">
        <v>0</v>
      </c>
      <c r="G31" s="256">
        <f>D31-F31</f>
        <v>1000</v>
      </c>
      <c r="H31" s="257">
        <f>SUM(K31:N31)</f>
        <v>1000</v>
      </c>
      <c r="I31" s="257"/>
      <c r="J31" s="257"/>
      <c r="K31" s="256"/>
      <c r="L31" s="256">
        <v>1000</v>
      </c>
      <c r="M31" s="255">
        <v>0</v>
      </c>
      <c r="N31" s="256"/>
      <c r="O31" s="169" t="s">
        <v>205</v>
      </c>
    </row>
    <row r="32" spans="1:15" s="15" customFormat="1" ht="66.75" customHeight="1">
      <c r="A32" s="355">
        <v>4</v>
      </c>
      <c r="B32" s="253" t="s">
        <v>129</v>
      </c>
      <c r="C32" s="306" t="s">
        <v>295</v>
      </c>
      <c r="D32" s="254">
        <v>60</v>
      </c>
      <c r="E32" s="254">
        <f t="shared" si="3"/>
        <v>60</v>
      </c>
      <c r="F32" s="255">
        <v>0</v>
      </c>
      <c r="G32" s="256">
        <f>D32-F32</f>
        <v>60</v>
      </c>
      <c r="H32" s="257">
        <f>SUM(K32:N32)</f>
        <v>60</v>
      </c>
      <c r="I32" s="257"/>
      <c r="J32" s="257"/>
      <c r="K32" s="256"/>
      <c r="L32" s="256">
        <v>60</v>
      </c>
      <c r="M32" s="255">
        <v>0</v>
      </c>
      <c r="N32" s="256"/>
      <c r="O32" s="169" t="s">
        <v>205</v>
      </c>
    </row>
    <row r="33" spans="1:15" s="15" customFormat="1" ht="66.75" customHeight="1">
      <c r="A33" s="355">
        <v>5</v>
      </c>
      <c r="B33" s="253" t="s">
        <v>131</v>
      </c>
      <c r="C33" s="306" t="s">
        <v>295</v>
      </c>
      <c r="D33" s="254">
        <v>140</v>
      </c>
      <c r="E33" s="254">
        <f t="shared" si="3"/>
        <v>140</v>
      </c>
      <c r="F33" s="255">
        <v>0</v>
      </c>
      <c r="G33" s="256">
        <f>D33-F33</f>
        <v>140</v>
      </c>
      <c r="H33" s="257">
        <f>SUM(K33:N33)</f>
        <v>140</v>
      </c>
      <c r="I33" s="257"/>
      <c r="J33" s="257"/>
      <c r="K33" s="256"/>
      <c r="L33" s="256">
        <v>140</v>
      </c>
      <c r="M33" s="255">
        <v>0</v>
      </c>
      <c r="N33" s="256"/>
      <c r="O33" s="169" t="s">
        <v>205</v>
      </c>
    </row>
    <row r="34" spans="1:15" s="15" customFormat="1" ht="66.75" customHeight="1">
      <c r="A34" s="355">
        <v>6</v>
      </c>
      <c r="B34" s="253" t="s">
        <v>133</v>
      </c>
      <c r="C34" s="306" t="s">
        <v>295</v>
      </c>
      <c r="D34" s="254">
        <v>130</v>
      </c>
      <c r="E34" s="254">
        <f t="shared" si="3"/>
        <v>130</v>
      </c>
      <c r="F34" s="255">
        <v>0</v>
      </c>
      <c r="G34" s="256">
        <f>D34-F34</f>
        <v>130</v>
      </c>
      <c r="H34" s="257">
        <f>SUM(K34:N34)</f>
        <v>130</v>
      </c>
      <c r="I34" s="257"/>
      <c r="J34" s="257"/>
      <c r="K34" s="256"/>
      <c r="L34" s="256">
        <v>130</v>
      </c>
      <c r="M34" s="255">
        <v>0</v>
      </c>
      <c r="N34" s="256"/>
      <c r="O34" s="169" t="s">
        <v>205</v>
      </c>
    </row>
    <row r="35" spans="1:15" s="15" customFormat="1" ht="66.75" customHeight="1">
      <c r="A35" s="355">
        <v>7</v>
      </c>
      <c r="B35" s="253" t="s">
        <v>136</v>
      </c>
      <c r="C35" s="306" t="s">
        <v>295</v>
      </c>
      <c r="D35" s="254">
        <v>140</v>
      </c>
      <c r="E35" s="254">
        <f t="shared" si="3"/>
        <v>140</v>
      </c>
      <c r="F35" s="255">
        <v>0</v>
      </c>
      <c r="G35" s="256">
        <f>D35-F35</f>
        <v>140</v>
      </c>
      <c r="H35" s="257">
        <f>SUM(K35:N35)</f>
        <v>140</v>
      </c>
      <c r="I35" s="257"/>
      <c r="J35" s="257"/>
      <c r="K35" s="256"/>
      <c r="L35" s="256">
        <v>140</v>
      </c>
      <c r="M35" s="255"/>
      <c r="N35" s="356"/>
      <c r="O35" s="169" t="s">
        <v>205</v>
      </c>
    </row>
    <row r="36" spans="1:15" ht="18.75" customHeight="1">
      <c r="A36" s="287"/>
      <c r="C36" s="165" t="s">
        <v>187</v>
      </c>
      <c r="D36" s="281">
        <f aca="true" t="shared" si="4" ref="D36:N36">SUM(D29:D35)</f>
        <v>52108</v>
      </c>
      <c r="E36" s="281">
        <f t="shared" si="4"/>
        <v>52108</v>
      </c>
      <c r="F36" s="281">
        <f t="shared" si="4"/>
        <v>0</v>
      </c>
      <c r="G36" s="281">
        <f t="shared" si="4"/>
        <v>52108</v>
      </c>
      <c r="H36" s="281">
        <f t="shared" si="4"/>
        <v>52108</v>
      </c>
      <c r="I36" s="281">
        <f t="shared" si="4"/>
        <v>0</v>
      </c>
      <c r="J36" s="281">
        <f t="shared" si="4"/>
        <v>0</v>
      </c>
      <c r="K36" s="281">
        <f t="shared" si="4"/>
        <v>49888</v>
      </c>
      <c r="L36" s="281">
        <f t="shared" si="4"/>
        <v>2220</v>
      </c>
      <c r="M36" s="281">
        <f t="shared" si="4"/>
        <v>0</v>
      </c>
      <c r="N36" s="281">
        <f t="shared" si="4"/>
        <v>0</v>
      </c>
      <c r="O36" s="151"/>
    </row>
    <row r="37" spans="1:14" ht="12.75" customHeight="1">
      <c r="A37" s="287"/>
      <c r="C37" s="134"/>
      <c r="D37" s="151"/>
      <c r="E37" s="151"/>
      <c r="F37" s="151"/>
      <c r="G37" s="151"/>
      <c r="H37" s="151"/>
      <c r="I37" s="151"/>
      <c r="J37" s="151"/>
      <c r="K37" s="151"/>
      <c r="L37" s="151"/>
      <c r="M37" s="151"/>
      <c r="N37" s="151"/>
    </row>
    <row r="38" spans="1:14" ht="12" customHeight="1" hidden="1">
      <c r="A38" s="287"/>
      <c r="C38" s="134"/>
      <c r="D38" s="151"/>
      <c r="E38" s="151"/>
      <c r="F38" s="151"/>
      <c r="G38" s="151"/>
      <c r="H38" s="151"/>
      <c r="I38" s="151"/>
      <c r="J38" s="151"/>
      <c r="K38" s="151"/>
      <c r="L38" s="151"/>
      <c r="M38" s="151"/>
      <c r="N38" s="151"/>
    </row>
    <row r="39" spans="1:15" ht="21" customHeight="1" hidden="1" thickBot="1">
      <c r="A39" s="206" t="s">
        <v>274</v>
      </c>
      <c r="B39" s="207"/>
      <c r="C39" s="133"/>
      <c r="D39" s="134"/>
      <c r="E39" s="144"/>
      <c r="F39" s="144"/>
      <c r="G39" s="144"/>
      <c r="H39" s="144"/>
      <c r="I39" s="144"/>
      <c r="J39" s="144"/>
      <c r="K39" s="144"/>
      <c r="L39" s="144"/>
      <c r="M39" s="144"/>
      <c r="N39" s="124" t="s">
        <v>185</v>
      </c>
      <c r="O39" s="145"/>
    </row>
    <row r="40" spans="1:15" ht="48.75" hidden="1" thickBot="1">
      <c r="A40" s="293" t="s">
        <v>186</v>
      </c>
      <c r="B40" s="294" t="s">
        <v>188</v>
      </c>
      <c r="C40" s="295" t="s">
        <v>223</v>
      </c>
      <c r="D40" s="294" t="s">
        <v>457</v>
      </c>
      <c r="E40" s="296" t="s">
        <v>220</v>
      </c>
      <c r="F40" s="297" t="s">
        <v>458</v>
      </c>
      <c r="G40" s="297" t="s">
        <v>278</v>
      </c>
      <c r="H40" s="297" t="s">
        <v>459</v>
      </c>
      <c r="I40" s="125" t="s">
        <v>222</v>
      </c>
      <c r="J40" s="126" t="s">
        <v>221</v>
      </c>
      <c r="K40" s="298" t="s">
        <v>254</v>
      </c>
      <c r="L40" s="297" t="s">
        <v>432</v>
      </c>
      <c r="M40" s="297" t="s">
        <v>192</v>
      </c>
      <c r="N40" s="299" t="s">
        <v>204</v>
      </c>
      <c r="O40" s="123"/>
    </row>
    <row r="41" spans="1:15" ht="36" customHeight="1" hidden="1">
      <c r="A41" s="127">
        <v>1</v>
      </c>
      <c r="B41" s="187"/>
      <c r="C41" s="170" t="s">
        <v>259</v>
      </c>
      <c r="D41" s="129"/>
      <c r="E41" s="129"/>
      <c r="F41" s="129">
        <v>0</v>
      </c>
      <c r="G41" s="129">
        <f>E41-F41</f>
        <v>0</v>
      </c>
      <c r="H41" s="130">
        <f>SUM(J41:N41)</f>
        <v>0</v>
      </c>
      <c r="I41" s="131"/>
      <c r="J41" s="131"/>
      <c r="K41" s="131">
        <v>0</v>
      </c>
      <c r="L41" s="156"/>
      <c r="M41" s="131"/>
      <c r="N41" s="131"/>
      <c r="O41" s="132" t="s">
        <v>205</v>
      </c>
    </row>
    <row r="42" spans="1:15" ht="18.75" customHeight="1" hidden="1">
      <c r="A42" s="133"/>
      <c r="B42" s="208"/>
      <c r="C42" s="133" t="s">
        <v>187</v>
      </c>
      <c r="D42" s="147">
        <f aca="true" t="shared" si="5" ref="D42:N42">SUM(D41:D41)</f>
        <v>0</v>
      </c>
      <c r="E42" s="147">
        <f t="shared" si="5"/>
        <v>0</v>
      </c>
      <c r="F42" s="147">
        <f t="shared" si="5"/>
        <v>0</v>
      </c>
      <c r="G42" s="147">
        <f t="shared" si="5"/>
        <v>0</v>
      </c>
      <c r="H42" s="147">
        <f t="shared" si="5"/>
        <v>0</v>
      </c>
      <c r="I42" s="147">
        <f t="shared" si="5"/>
        <v>0</v>
      </c>
      <c r="J42" s="147">
        <f t="shared" si="5"/>
        <v>0</v>
      </c>
      <c r="K42" s="147">
        <f t="shared" si="5"/>
        <v>0</v>
      </c>
      <c r="L42" s="147">
        <f t="shared" si="5"/>
        <v>0</v>
      </c>
      <c r="M42" s="147">
        <f t="shared" si="5"/>
        <v>0</v>
      </c>
      <c r="N42" s="147">
        <f t="shared" si="5"/>
        <v>0</v>
      </c>
      <c r="O42" s="136"/>
    </row>
    <row r="43" spans="1:15" ht="18.75" customHeight="1">
      <c r="A43" s="133"/>
      <c r="B43" s="208"/>
      <c r="C43" s="133"/>
      <c r="D43" s="177"/>
      <c r="E43" s="177"/>
      <c r="F43" s="177"/>
      <c r="G43" s="177"/>
      <c r="H43" s="177"/>
      <c r="I43" s="177"/>
      <c r="J43" s="177"/>
      <c r="K43" s="177"/>
      <c r="L43" s="177"/>
      <c r="M43" s="177"/>
      <c r="N43" s="177"/>
      <c r="O43" s="136"/>
    </row>
    <row r="44" spans="1:15" ht="18.75" customHeight="1">
      <c r="A44" s="133"/>
      <c r="B44" s="208"/>
      <c r="C44" s="133"/>
      <c r="D44" s="177"/>
      <c r="E44" s="177"/>
      <c r="F44" s="177"/>
      <c r="G44" s="177"/>
      <c r="H44" s="177"/>
      <c r="I44" s="177"/>
      <c r="J44" s="177"/>
      <c r="K44" s="177"/>
      <c r="L44" s="177"/>
      <c r="M44" s="177"/>
      <c r="N44" s="177"/>
      <c r="O44" s="136"/>
    </row>
    <row r="45" spans="1:15" ht="18.75" customHeight="1">
      <c r="A45" s="133"/>
      <c r="B45" s="208"/>
      <c r="C45" s="133"/>
      <c r="D45" s="177"/>
      <c r="E45" s="177"/>
      <c r="F45" s="177"/>
      <c r="G45" s="177"/>
      <c r="H45" s="177"/>
      <c r="I45" s="177"/>
      <c r="J45" s="177"/>
      <c r="K45" s="177"/>
      <c r="L45" s="177"/>
      <c r="M45" s="177"/>
      <c r="N45" s="177"/>
      <c r="O45" s="136"/>
    </row>
    <row r="46" spans="1:15" ht="18.75" customHeight="1">
      <c r="A46" s="133"/>
      <c r="B46" s="208"/>
      <c r="C46" s="133"/>
      <c r="D46" s="177"/>
      <c r="E46" s="177"/>
      <c r="F46" s="177"/>
      <c r="G46" s="177"/>
      <c r="H46" s="177"/>
      <c r="I46" s="177"/>
      <c r="J46" s="177"/>
      <c r="K46" s="177"/>
      <c r="L46" s="177"/>
      <c r="M46" s="177"/>
      <c r="N46" s="177"/>
      <c r="O46" s="136"/>
    </row>
    <row r="47" spans="1:15" ht="18.75" customHeight="1">
      <c r="A47" s="133"/>
      <c r="B47" s="208"/>
      <c r="C47" s="133"/>
      <c r="D47" s="177"/>
      <c r="E47" s="177"/>
      <c r="F47" s="177"/>
      <c r="G47" s="177"/>
      <c r="H47" s="177"/>
      <c r="I47" s="177"/>
      <c r="J47" s="177"/>
      <c r="K47" s="177"/>
      <c r="L47" s="177"/>
      <c r="M47" s="177"/>
      <c r="N47" s="177"/>
      <c r="O47" s="136"/>
    </row>
    <row r="48" spans="1:14" ht="21.75" customHeight="1">
      <c r="A48" s="287"/>
      <c r="C48" s="134"/>
      <c r="D48" s="151"/>
      <c r="E48" s="151"/>
      <c r="F48" s="151"/>
      <c r="G48" s="151"/>
      <c r="H48" s="151"/>
      <c r="I48" s="151"/>
      <c r="J48" s="151"/>
      <c r="K48" s="151"/>
      <c r="L48" s="151"/>
      <c r="M48" s="151"/>
      <c r="N48" s="151"/>
    </row>
    <row r="49" spans="1:15" ht="27.75" customHeight="1" thickBot="1">
      <c r="A49" s="114" t="s">
        <v>237</v>
      </c>
      <c r="B49" s="18"/>
      <c r="C49" s="18"/>
      <c r="D49" s="18"/>
      <c r="E49" s="18"/>
      <c r="F49" s="18"/>
      <c r="G49" s="18"/>
      <c r="H49" s="15"/>
      <c r="I49" s="15"/>
      <c r="J49" s="15"/>
      <c r="K49" s="15"/>
      <c r="L49" s="79"/>
      <c r="M49" s="15"/>
      <c r="N49" s="148" t="s">
        <v>185</v>
      </c>
      <c r="O49" s="324"/>
    </row>
    <row r="50" spans="1:15" s="15" customFormat="1" ht="54.75" customHeight="1" thickBot="1">
      <c r="A50" s="293" t="s">
        <v>186</v>
      </c>
      <c r="B50" s="294" t="s">
        <v>188</v>
      </c>
      <c r="C50" s="295" t="s">
        <v>223</v>
      </c>
      <c r="D50" s="294" t="s">
        <v>457</v>
      </c>
      <c r="E50" s="296" t="s">
        <v>220</v>
      </c>
      <c r="F50" s="297" t="s">
        <v>458</v>
      </c>
      <c r="G50" s="297" t="s">
        <v>278</v>
      </c>
      <c r="H50" s="297" t="s">
        <v>459</v>
      </c>
      <c r="I50" s="125" t="s">
        <v>222</v>
      </c>
      <c r="J50" s="126" t="s">
        <v>221</v>
      </c>
      <c r="K50" s="298" t="s">
        <v>254</v>
      </c>
      <c r="L50" s="297" t="s">
        <v>432</v>
      </c>
      <c r="M50" s="297" t="s">
        <v>192</v>
      </c>
      <c r="N50" s="299" t="s">
        <v>204</v>
      </c>
      <c r="O50" s="164"/>
    </row>
    <row r="51" spans="1:15" ht="57" customHeight="1">
      <c r="A51" s="314">
        <v>1</v>
      </c>
      <c r="B51" s="186" t="s">
        <v>497</v>
      </c>
      <c r="C51" s="315" t="s">
        <v>524</v>
      </c>
      <c r="D51" s="249">
        <v>341</v>
      </c>
      <c r="E51" s="249">
        <f>D51</f>
        <v>341</v>
      </c>
      <c r="F51" s="249">
        <v>0</v>
      </c>
      <c r="G51" s="250">
        <f>E51-F51</f>
        <v>341</v>
      </c>
      <c r="H51" s="251">
        <f>SUM(I51:N51)</f>
        <v>341</v>
      </c>
      <c r="I51" s="249"/>
      <c r="J51" s="249"/>
      <c r="K51" s="249"/>
      <c r="L51" s="249"/>
      <c r="M51" s="249">
        <v>341</v>
      </c>
      <c r="N51" s="249"/>
      <c r="O51" s="169" t="s">
        <v>325</v>
      </c>
    </row>
    <row r="52" spans="1:14" ht="25.5" customHeight="1">
      <c r="A52" s="325"/>
      <c r="C52" s="326" t="s">
        <v>187</v>
      </c>
      <c r="D52" s="327">
        <f aca="true" t="shared" si="6" ref="D52:N52">SUM(D51:D51)</f>
        <v>341</v>
      </c>
      <c r="E52" s="327">
        <f t="shared" si="6"/>
        <v>341</v>
      </c>
      <c r="F52" s="327">
        <f t="shared" si="6"/>
        <v>0</v>
      </c>
      <c r="G52" s="327">
        <f t="shared" si="6"/>
        <v>341</v>
      </c>
      <c r="H52" s="327">
        <f t="shared" si="6"/>
        <v>341</v>
      </c>
      <c r="I52" s="327">
        <f t="shared" si="6"/>
        <v>0</v>
      </c>
      <c r="J52" s="327">
        <f t="shared" si="6"/>
        <v>0</v>
      </c>
      <c r="K52" s="327">
        <f t="shared" si="6"/>
        <v>0</v>
      </c>
      <c r="L52" s="327">
        <f t="shared" si="6"/>
        <v>0</v>
      </c>
      <c r="M52" s="327">
        <f t="shared" si="6"/>
        <v>341</v>
      </c>
      <c r="N52" s="327">
        <f t="shared" si="6"/>
        <v>0</v>
      </c>
    </row>
    <row r="53" spans="1:14" ht="25.5" customHeight="1">
      <c r="A53" s="325"/>
      <c r="C53" s="375"/>
      <c r="D53" s="376"/>
      <c r="E53" s="376"/>
      <c r="F53" s="376"/>
      <c r="G53" s="376"/>
      <c r="H53" s="376"/>
      <c r="I53" s="376"/>
      <c r="J53" s="376"/>
      <c r="K53" s="376"/>
      <c r="L53" s="376"/>
      <c r="M53" s="376"/>
      <c r="N53" s="376"/>
    </row>
    <row r="54" spans="1:14" ht="18.75" customHeight="1">
      <c r="A54" s="287"/>
      <c r="C54" s="134"/>
      <c r="D54" s="151"/>
      <c r="E54" s="151"/>
      <c r="F54" s="151"/>
      <c r="G54" s="151"/>
      <c r="H54" s="151"/>
      <c r="I54" s="151"/>
      <c r="J54" s="151"/>
      <c r="K54" s="151"/>
      <c r="L54" s="151"/>
      <c r="M54" s="151"/>
      <c r="N54" s="151"/>
    </row>
    <row r="55" spans="1:15" s="110" customFormat="1" ht="24.75" customHeight="1" thickBot="1">
      <c r="A55" s="282" t="s">
        <v>200</v>
      </c>
      <c r="B55" s="13"/>
      <c r="C55" s="13"/>
      <c r="D55" s="108"/>
      <c r="E55" s="108"/>
      <c r="F55" s="13"/>
      <c r="G55" s="13"/>
      <c r="J55" s="13"/>
      <c r="L55" s="124"/>
      <c r="M55" s="162"/>
      <c r="N55" s="148" t="s">
        <v>185</v>
      </c>
      <c r="O55" s="163"/>
    </row>
    <row r="56" spans="1:15" s="110" customFormat="1" ht="48.75" thickBot="1">
      <c r="A56" s="293" t="s">
        <v>186</v>
      </c>
      <c r="B56" s="294" t="s">
        <v>188</v>
      </c>
      <c r="C56" s="295" t="s">
        <v>223</v>
      </c>
      <c r="D56" s="294" t="s">
        <v>457</v>
      </c>
      <c r="E56" s="296" t="s">
        <v>220</v>
      </c>
      <c r="F56" s="297" t="s">
        <v>458</v>
      </c>
      <c r="G56" s="297" t="s">
        <v>278</v>
      </c>
      <c r="H56" s="297" t="s">
        <v>459</v>
      </c>
      <c r="I56" s="125" t="s">
        <v>222</v>
      </c>
      <c r="J56" s="126" t="s">
        <v>221</v>
      </c>
      <c r="K56" s="298" t="s">
        <v>254</v>
      </c>
      <c r="L56" s="297" t="s">
        <v>432</v>
      </c>
      <c r="M56" s="297" t="s">
        <v>192</v>
      </c>
      <c r="N56" s="299" t="s">
        <v>204</v>
      </c>
      <c r="O56" s="163"/>
    </row>
    <row r="57" spans="1:15" s="110" customFormat="1" ht="63.75" customHeight="1">
      <c r="A57" s="314">
        <v>1</v>
      </c>
      <c r="B57" s="253" t="s">
        <v>25</v>
      </c>
      <c r="C57" s="307" t="s">
        <v>10</v>
      </c>
      <c r="D57" s="254">
        <v>1000</v>
      </c>
      <c r="E57" s="316">
        <f>D57</f>
        <v>1000</v>
      </c>
      <c r="F57" s="255">
        <v>0</v>
      </c>
      <c r="G57" s="256">
        <f>D57-F57</f>
        <v>1000</v>
      </c>
      <c r="H57" s="257">
        <f>SUM(K57:N57)</f>
        <v>1000</v>
      </c>
      <c r="I57" s="257"/>
      <c r="J57" s="257"/>
      <c r="K57" s="256">
        <v>0</v>
      </c>
      <c r="L57" s="256"/>
      <c r="M57" s="255">
        <v>1000</v>
      </c>
      <c r="N57" s="256"/>
      <c r="O57" s="112" t="s">
        <v>205</v>
      </c>
    </row>
    <row r="58" spans="1:15" s="110" customFormat="1" ht="78" customHeight="1">
      <c r="A58" s="314">
        <v>2</v>
      </c>
      <c r="B58" s="253" t="s">
        <v>110</v>
      </c>
      <c r="C58" s="307" t="s">
        <v>10</v>
      </c>
      <c r="D58" s="254">
        <v>3442</v>
      </c>
      <c r="E58" s="316">
        <f>D58</f>
        <v>3442</v>
      </c>
      <c r="F58" s="255">
        <v>0</v>
      </c>
      <c r="G58" s="256">
        <f>D58-F58</f>
        <v>3442</v>
      </c>
      <c r="H58" s="257">
        <f>SUM(K58:N58)</f>
        <v>3442</v>
      </c>
      <c r="I58" s="257"/>
      <c r="J58" s="257"/>
      <c r="K58" s="256">
        <v>0</v>
      </c>
      <c r="L58" s="256"/>
      <c r="M58" s="255">
        <v>3442</v>
      </c>
      <c r="N58" s="256"/>
      <c r="O58" s="112" t="s">
        <v>205</v>
      </c>
    </row>
    <row r="59" spans="1:15" s="110" customFormat="1" ht="50.25" customHeight="1">
      <c r="A59" s="314">
        <v>3</v>
      </c>
      <c r="B59" s="253" t="s">
        <v>39</v>
      </c>
      <c r="C59" s="307" t="s">
        <v>10</v>
      </c>
      <c r="D59" s="254">
        <v>1000</v>
      </c>
      <c r="E59" s="316">
        <f aca="true" t="shared" si="7" ref="E59:E68">D59</f>
        <v>1000</v>
      </c>
      <c r="F59" s="255">
        <v>0</v>
      </c>
      <c r="G59" s="256">
        <f>D59-F59</f>
        <v>1000</v>
      </c>
      <c r="H59" s="257">
        <f>SUM(K59:N59)</f>
        <v>1000</v>
      </c>
      <c r="I59" s="257"/>
      <c r="J59" s="257"/>
      <c r="K59" s="256">
        <v>0</v>
      </c>
      <c r="L59" s="256"/>
      <c r="M59" s="255">
        <v>1000</v>
      </c>
      <c r="N59" s="256"/>
      <c r="O59" s="112" t="s">
        <v>205</v>
      </c>
    </row>
    <row r="60" spans="1:15" s="110" customFormat="1" ht="50.25" customHeight="1">
      <c r="A60" s="314">
        <v>4</v>
      </c>
      <c r="B60" s="186" t="s">
        <v>334</v>
      </c>
      <c r="C60" s="307" t="s">
        <v>52</v>
      </c>
      <c r="D60" s="249">
        <v>1542</v>
      </c>
      <c r="E60" s="249">
        <f>D60</f>
        <v>1542</v>
      </c>
      <c r="F60" s="249">
        <v>0</v>
      </c>
      <c r="G60" s="250">
        <f>E60-F60</f>
        <v>1542</v>
      </c>
      <c r="H60" s="251">
        <f>SUM(I60:M60)</f>
        <v>1542</v>
      </c>
      <c r="I60" s="323"/>
      <c r="J60" s="323"/>
      <c r="K60" s="323"/>
      <c r="L60" s="323"/>
      <c r="M60" s="323">
        <v>1542</v>
      </c>
      <c r="N60" s="249"/>
      <c r="O60" s="169" t="s">
        <v>205</v>
      </c>
    </row>
    <row r="61" spans="1:15" s="110" customFormat="1" ht="50.25" customHeight="1">
      <c r="A61" s="314">
        <v>5</v>
      </c>
      <c r="B61" s="186" t="s">
        <v>335</v>
      </c>
      <c r="C61" s="307" t="s">
        <v>52</v>
      </c>
      <c r="D61" s="249">
        <v>227</v>
      </c>
      <c r="E61" s="249">
        <f>D61</f>
        <v>227</v>
      </c>
      <c r="F61" s="249">
        <v>0</v>
      </c>
      <c r="G61" s="250">
        <f>E61-F61</f>
        <v>227</v>
      </c>
      <c r="H61" s="251">
        <f>SUM(I61:M61)</f>
        <v>227</v>
      </c>
      <c r="I61" s="323"/>
      <c r="J61" s="323"/>
      <c r="K61" s="323"/>
      <c r="L61" s="323"/>
      <c r="M61" s="323">
        <v>227</v>
      </c>
      <c r="N61" s="249"/>
      <c r="O61" s="169" t="s">
        <v>205</v>
      </c>
    </row>
    <row r="62" spans="1:15" s="110" customFormat="1" ht="57.75" customHeight="1">
      <c r="A62" s="314">
        <v>6</v>
      </c>
      <c r="B62" s="186" t="s">
        <v>115</v>
      </c>
      <c r="C62" s="307" t="s">
        <v>52</v>
      </c>
      <c r="D62" s="249">
        <v>1286</v>
      </c>
      <c r="E62" s="249">
        <f>D62</f>
        <v>1286</v>
      </c>
      <c r="F62" s="249">
        <v>0</v>
      </c>
      <c r="G62" s="250">
        <f>E62-F62</f>
        <v>1286</v>
      </c>
      <c r="H62" s="251">
        <f>SUM(I62:M62)</f>
        <v>1286</v>
      </c>
      <c r="I62" s="323"/>
      <c r="J62" s="323"/>
      <c r="K62" s="323"/>
      <c r="L62" s="323"/>
      <c r="M62" s="323">
        <v>1286</v>
      </c>
      <c r="N62" s="249"/>
      <c r="O62" s="169" t="s">
        <v>205</v>
      </c>
    </row>
    <row r="63" spans="1:15" s="110" customFormat="1" ht="70.5" customHeight="1">
      <c r="A63" s="314">
        <v>7</v>
      </c>
      <c r="B63" s="317" t="s">
        <v>492</v>
      </c>
      <c r="C63" s="318" t="s">
        <v>289</v>
      </c>
      <c r="D63" s="129">
        <v>10964</v>
      </c>
      <c r="E63" s="129">
        <f t="shared" si="7"/>
        <v>10964</v>
      </c>
      <c r="F63" s="129">
        <v>0</v>
      </c>
      <c r="G63" s="129">
        <f>E63-F63</f>
        <v>10964</v>
      </c>
      <c r="H63" s="130">
        <f>SUM(J63:N63)</f>
        <v>10964</v>
      </c>
      <c r="I63" s="131"/>
      <c r="J63" s="131"/>
      <c r="K63" s="131"/>
      <c r="L63" s="156">
        <v>10964</v>
      </c>
      <c r="M63" s="131">
        <v>0</v>
      </c>
      <c r="N63" s="131"/>
      <c r="O63" s="169" t="s">
        <v>205</v>
      </c>
    </row>
    <row r="64" spans="1:15" s="110" customFormat="1" ht="46.5" customHeight="1">
      <c r="A64" s="314">
        <v>8</v>
      </c>
      <c r="B64" s="319" t="s">
        <v>374</v>
      </c>
      <c r="C64" s="306" t="s">
        <v>289</v>
      </c>
      <c r="D64" s="320">
        <v>2119</v>
      </c>
      <c r="E64" s="321">
        <f t="shared" si="7"/>
        <v>2119</v>
      </c>
      <c r="F64" s="322">
        <v>0</v>
      </c>
      <c r="G64" s="256">
        <f>D64-F64</f>
        <v>2119</v>
      </c>
      <c r="H64" s="257">
        <f>SUM(K64:N64)</f>
        <v>2119</v>
      </c>
      <c r="I64" s="237"/>
      <c r="J64" s="237"/>
      <c r="K64" s="322"/>
      <c r="L64" s="322">
        <v>2119</v>
      </c>
      <c r="M64" s="316">
        <v>0</v>
      </c>
      <c r="N64" s="256"/>
      <c r="O64" s="112" t="s">
        <v>205</v>
      </c>
    </row>
    <row r="65" spans="1:15" s="110" customFormat="1" ht="69.75" customHeight="1">
      <c r="A65" s="314">
        <v>9</v>
      </c>
      <c r="B65" s="319" t="s">
        <v>117</v>
      </c>
      <c r="C65" s="306" t="s">
        <v>289</v>
      </c>
      <c r="D65" s="320">
        <v>2044</v>
      </c>
      <c r="E65" s="321">
        <f t="shared" si="7"/>
        <v>2044</v>
      </c>
      <c r="F65" s="322">
        <v>0</v>
      </c>
      <c r="G65" s="256">
        <f>D65-F65</f>
        <v>2044</v>
      </c>
      <c r="H65" s="257">
        <f>SUM(K65:N65)</f>
        <v>2044</v>
      </c>
      <c r="I65" s="237"/>
      <c r="J65" s="237"/>
      <c r="K65" s="322"/>
      <c r="L65" s="322">
        <v>2044</v>
      </c>
      <c r="M65" s="316">
        <v>0</v>
      </c>
      <c r="N65" s="256"/>
      <c r="O65" s="112" t="s">
        <v>205</v>
      </c>
    </row>
    <row r="66" spans="1:15" s="110" customFormat="1" ht="36.75" customHeight="1">
      <c r="A66" s="314">
        <v>10</v>
      </c>
      <c r="B66" s="319" t="s">
        <v>118</v>
      </c>
      <c r="C66" s="306" t="s">
        <v>289</v>
      </c>
      <c r="D66" s="320">
        <v>150</v>
      </c>
      <c r="E66" s="321">
        <f t="shared" si="7"/>
        <v>150</v>
      </c>
      <c r="F66" s="322">
        <v>0</v>
      </c>
      <c r="G66" s="256">
        <f>D66-F66</f>
        <v>150</v>
      </c>
      <c r="H66" s="257">
        <f>SUM(K66:N66)</f>
        <v>150</v>
      </c>
      <c r="I66" s="237"/>
      <c r="J66" s="237"/>
      <c r="K66" s="322"/>
      <c r="L66" s="322">
        <v>150</v>
      </c>
      <c r="M66" s="316">
        <v>0</v>
      </c>
      <c r="N66" s="256"/>
      <c r="O66" s="112" t="s">
        <v>205</v>
      </c>
    </row>
    <row r="67" spans="1:15" s="110" customFormat="1" ht="36.75" customHeight="1">
      <c r="A67" s="314">
        <v>11</v>
      </c>
      <c r="B67" s="319" t="s">
        <v>119</v>
      </c>
      <c r="C67" s="306" t="s">
        <v>289</v>
      </c>
      <c r="D67" s="320">
        <v>1325</v>
      </c>
      <c r="E67" s="321">
        <f t="shared" si="7"/>
        <v>1325</v>
      </c>
      <c r="F67" s="322">
        <v>0</v>
      </c>
      <c r="G67" s="256">
        <f>D67-F67</f>
        <v>1325</v>
      </c>
      <c r="H67" s="257">
        <f>SUM(K67:N67)</f>
        <v>1325</v>
      </c>
      <c r="I67" s="237"/>
      <c r="J67" s="237"/>
      <c r="K67" s="322"/>
      <c r="L67" s="322">
        <v>1325</v>
      </c>
      <c r="M67" s="316">
        <v>0</v>
      </c>
      <c r="N67" s="256"/>
      <c r="O67" s="112" t="s">
        <v>205</v>
      </c>
    </row>
    <row r="68" spans="1:15" s="110" customFormat="1" ht="36.75" customHeight="1">
      <c r="A68" s="314">
        <v>12</v>
      </c>
      <c r="B68" s="319" t="s">
        <v>120</v>
      </c>
      <c r="C68" s="306" t="s">
        <v>289</v>
      </c>
      <c r="D68" s="320">
        <v>1490</v>
      </c>
      <c r="E68" s="321">
        <f t="shared" si="7"/>
        <v>1490</v>
      </c>
      <c r="F68" s="322">
        <v>0</v>
      </c>
      <c r="G68" s="256">
        <f>D68-F68</f>
        <v>1490</v>
      </c>
      <c r="H68" s="257">
        <f>SUM(K68:N68)</f>
        <v>1490</v>
      </c>
      <c r="I68" s="237"/>
      <c r="J68" s="237"/>
      <c r="K68" s="322"/>
      <c r="L68" s="322">
        <v>1490</v>
      </c>
      <c r="M68" s="316">
        <v>0</v>
      </c>
      <c r="N68" s="256"/>
      <c r="O68" s="112" t="s">
        <v>205</v>
      </c>
    </row>
    <row r="69" spans="1:15" s="111" customFormat="1" ht="29.25" customHeight="1">
      <c r="A69" s="166"/>
      <c r="B69" s="179"/>
      <c r="C69" s="167" t="s">
        <v>187</v>
      </c>
      <c r="D69" s="229">
        <f aca="true" t="shared" si="8" ref="D69:N69">SUM(D57:D68)</f>
        <v>26589</v>
      </c>
      <c r="E69" s="229">
        <f t="shared" si="8"/>
        <v>26589</v>
      </c>
      <c r="F69" s="229">
        <f t="shared" si="8"/>
        <v>0</v>
      </c>
      <c r="G69" s="229">
        <f t="shared" si="8"/>
        <v>26589</v>
      </c>
      <c r="H69" s="229">
        <f t="shared" si="8"/>
        <v>26589</v>
      </c>
      <c r="I69" s="229">
        <f t="shared" si="8"/>
        <v>0</v>
      </c>
      <c r="J69" s="229">
        <f t="shared" si="8"/>
        <v>0</v>
      </c>
      <c r="K69" s="229">
        <f t="shared" si="8"/>
        <v>0</v>
      </c>
      <c r="L69" s="229">
        <f t="shared" si="8"/>
        <v>18092</v>
      </c>
      <c r="M69" s="229">
        <f t="shared" si="8"/>
        <v>8497</v>
      </c>
      <c r="N69" s="229">
        <f t="shared" si="8"/>
        <v>0</v>
      </c>
      <c r="O69" s="168"/>
    </row>
    <row r="70" spans="1:15" s="111" customFormat="1" ht="29.25" customHeight="1">
      <c r="A70" s="166"/>
      <c r="B70" s="179"/>
      <c r="C70" s="180"/>
      <c r="D70" s="200"/>
      <c r="E70" s="200"/>
      <c r="F70" s="200"/>
      <c r="G70" s="200"/>
      <c r="H70" s="200"/>
      <c r="I70" s="200"/>
      <c r="J70" s="200"/>
      <c r="K70" s="200"/>
      <c r="L70" s="200"/>
      <c r="M70" s="200"/>
      <c r="N70" s="200"/>
      <c r="O70" s="168"/>
    </row>
    <row r="71" spans="1:15" s="111" customFormat="1" ht="29.25" customHeight="1">
      <c r="A71" s="166"/>
      <c r="B71" s="179"/>
      <c r="C71" s="180"/>
      <c r="D71" s="200"/>
      <c r="E71" s="200"/>
      <c r="F71" s="200"/>
      <c r="G71" s="200"/>
      <c r="H71" s="200"/>
      <c r="I71" s="200"/>
      <c r="J71" s="200"/>
      <c r="K71" s="200"/>
      <c r="L71" s="200"/>
      <c r="M71" s="200"/>
      <c r="N71" s="200"/>
      <c r="O71" s="168"/>
    </row>
    <row r="72" spans="1:15" s="111" customFormat="1" ht="29.25" customHeight="1">
      <c r="A72" s="166"/>
      <c r="B72" s="179"/>
      <c r="C72" s="180"/>
      <c r="D72" s="200"/>
      <c r="E72" s="200"/>
      <c r="F72" s="200"/>
      <c r="G72" s="200"/>
      <c r="H72" s="200"/>
      <c r="I72" s="200"/>
      <c r="J72" s="200"/>
      <c r="K72" s="200"/>
      <c r="L72" s="200"/>
      <c r="M72" s="200"/>
      <c r="N72" s="200"/>
      <c r="O72" s="168"/>
    </row>
    <row r="73" spans="1:15" s="111" customFormat="1" ht="29.25" customHeight="1">
      <c r="A73" s="166"/>
      <c r="B73" s="179"/>
      <c r="C73" s="180"/>
      <c r="D73" s="200"/>
      <c r="E73" s="200"/>
      <c r="F73" s="200"/>
      <c r="G73" s="200"/>
      <c r="H73" s="200"/>
      <c r="I73" s="200"/>
      <c r="J73" s="200"/>
      <c r="K73" s="200"/>
      <c r="L73" s="200"/>
      <c r="M73" s="200"/>
      <c r="N73" s="200"/>
      <c r="O73" s="168"/>
    </row>
    <row r="74" spans="1:15" s="111" customFormat="1" ht="29.25" customHeight="1">
      <c r="A74" s="166"/>
      <c r="B74" s="179"/>
      <c r="C74" s="180"/>
      <c r="D74" s="200"/>
      <c r="E74" s="200"/>
      <c r="F74" s="200"/>
      <c r="G74" s="200"/>
      <c r="H74" s="200"/>
      <c r="I74" s="200"/>
      <c r="J74" s="200"/>
      <c r="K74" s="200"/>
      <c r="L74" s="200"/>
      <c r="M74" s="200"/>
      <c r="N74" s="200"/>
      <c r="O74" s="168"/>
    </row>
    <row r="75" spans="1:15" s="111" customFormat="1" ht="29.25" customHeight="1">
      <c r="A75" s="166"/>
      <c r="B75" s="179"/>
      <c r="C75" s="180"/>
      <c r="D75" s="200"/>
      <c r="E75" s="200"/>
      <c r="F75" s="200"/>
      <c r="G75" s="200"/>
      <c r="H75" s="200"/>
      <c r="I75" s="200"/>
      <c r="J75" s="200"/>
      <c r="K75" s="200"/>
      <c r="L75" s="200"/>
      <c r="M75" s="200"/>
      <c r="N75" s="200"/>
      <c r="O75" s="168"/>
    </row>
    <row r="76" spans="1:15" s="111" customFormat="1" ht="29.25" customHeight="1">
      <c r="A76" s="166"/>
      <c r="B76" s="179"/>
      <c r="C76" s="180"/>
      <c r="D76" s="200"/>
      <c r="E76" s="200"/>
      <c r="F76" s="200"/>
      <c r="G76" s="200"/>
      <c r="H76" s="200"/>
      <c r="I76" s="200"/>
      <c r="J76" s="200"/>
      <c r="K76" s="200"/>
      <c r="L76" s="200"/>
      <c r="M76" s="200"/>
      <c r="N76" s="200"/>
      <c r="O76" s="168"/>
    </row>
    <row r="77" spans="1:15" s="111" customFormat="1" ht="29.25" customHeight="1">
      <c r="A77" s="166"/>
      <c r="B77" s="179"/>
      <c r="C77" s="180"/>
      <c r="D77" s="200"/>
      <c r="E77" s="200"/>
      <c r="F77" s="200"/>
      <c r="G77" s="200"/>
      <c r="H77" s="200"/>
      <c r="I77" s="200"/>
      <c r="J77" s="200"/>
      <c r="K77" s="200"/>
      <c r="L77" s="200"/>
      <c r="M77" s="200"/>
      <c r="N77" s="200"/>
      <c r="O77" s="168"/>
    </row>
    <row r="78" spans="1:15" s="111" customFormat="1" ht="10.5" customHeight="1">
      <c r="A78" s="166"/>
      <c r="B78" s="179"/>
      <c r="C78" s="180"/>
      <c r="D78" s="200"/>
      <c r="E78" s="200"/>
      <c r="F78" s="200"/>
      <c r="G78" s="200"/>
      <c r="H78" s="200"/>
      <c r="I78" s="200"/>
      <c r="J78" s="200"/>
      <c r="K78" s="200"/>
      <c r="L78" s="200"/>
      <c r="M78" s="200"/>
      <c r="N78" s="200"/>
      <c r="O78" s="168"/>
    </row>
    <row r="79" spans="1:15" s="111" customFormat="1" ht="21" customHeight="1" thickBot="1">
      <c r="A79" s="106" t="s">
        <v>252</v>
      </c>
      <c r="B79" s="110"/>
      <c r="C79" s="107"/>
      <c r="D79" s="13"/>
      <c r="E79" s="108"/>
      <c r="F79" s="13"/>
      <c r="G79" s="13"/>
      <c r="H79" s="13"/>
      <c r="I79" s="13"/>
      <c r="J79" s="13"/>
      <c r="K79" s="13"/>
      <c r="L79" s="109" t="s">
        <v>185</v>
      </c>
      <c r="M79" s="102"/>
      <c r="N79" s="110"/>
      <c r="O79" s="163"/>
    </row>
    <row r="80" spans="1:15" s="111" customFormat="1" ht="50.25" customHeight="1" thickBot="1">
      <c r="A80" s="293" t="s">
        <v>186</v>
      </c>
      <c r="B80" s="294" t="s">
        <v>188</v>
      </c>
      <c r="C80" s="295" t="s">
        <v>223</v>
      </c>
      <c r="D80" s="294" t="s">
        <v>457</v>
      </c>
      <c r="E80" s="296" t="s">
        <v>220</v>
      </c>
      <c r="F80" s="297" t="s">
        <v>458</v>
      </c>
      <c r="G80" s="297" t="s">
        <v>278</v>
      </c>
      <c r="H80" s="297" t="s">
        <v>459</v>
      </c>
      <c r="I80" s="125" t="s">
        <v>222</v>
      </c>
      <c r="J80" s="126" t="s">
        <v>221</v>
      </c>
      <c r="K80" s="298" t="s">
        <v>254</v>
      </c>
      <c r="L80" s="297" t="s">
        <v>432</v>
      </c>
      <c r="M80" s="297" t="s">
        <v>192</v>
      </c>
      <c r="N80" s="299" t="s">
        <v>204</v>
      </c>
      <c r="O80" s="164"/>
    </row>
    <row r="81" spans="1:15" s="111" customFormat="1" ht="196.5" customHeight="1">
      <c r="A81" s="314">
        <v>1</v>
      </c>
      <c r="B81" s="186" t="s">
        <v>333</v>
      </c>
      <c r="C81" s="315" t="s">
        <v>52</v>
      </c>
      <c r="D81" s="129">
        <f>3591+647</f>
        <v>4238</v>
      </c>
      <c r="E81" s="129">
        <f>D81</f>
        <v>4238</v>
      </c>
      <c r="F81" s="129">
        <f>1505+2086</f>
        <v>3591</v>
      </c>
      <c r="G81" s="129">
        <f>E81-F81</f>
        <v>647</v>
      </c>
      <c r="H81" s="130">
        <f>SUM(J81:N81)</f>
        <v>647</v>
      </c>
      <c r="I81" s="131"/>
      <c r="J81" s="131"/>
      <c r="K81" s="131"/>
      <c r="L81" s="156">
        <v>0</v>
      </c>
      <c r="M81" s="131">
        <v>647</v>
      </c>
      <c r="N81" s="131"/>
      <c r="O81" s="169" t="s">
        <v>205</v>
      </c>
    </row>
    <row r="82" spans="1:15" s="111" customFormat="1" ht="49.5" customHeight="1">
      <c r="A82" s="314">
        <v>2</v>
      </c>
      <c r="B82" s="338" t="s">
        <v>444</v>
      </c>
      <c r="C82" s="307" t="s">
        <v>10</v>
      </c>
      <c r="D82" s="339">
        <v>3124</v>
      </c>
      <c r="E82" s="254">
        <f>D82</f>
        <v>3124</v>
      </c>
      <c r="F82" s="255">
        <v>0</v>
      </c>
      <c r="G82" s="256">
        <f>D82-F82</f>
        <v>3124</v>
      </c>
      <c r="H82" s="257">
        <f>SUM(K82:N82)</f>
        <v>3124</v>
      </c>
      <c r="I82" s="257"/>
      <c r="J82" s="257"/>
      <c r="K82" s="256">
        <v>0</v>
      </c>
      <c r="L82" s="256"/>
      <c r="M82" s="255">
        <v>3124</v>
      </c>
      <c r="N82" s="256"/>
      <c r="O82" s="112" t="s">
        <v>205</v>
      </c>
    </row>
    <row r="83" spans="1:19" s="111" customFormat="1" ht="43.5" customHeight="1">
      <c r="A83" s="314">
        <v>3</v>
      </c>
      <c r="B83" s="253" t="s">
        <v>149</v>
      </c>
      <c r="C83" s="307" t="s">
        <v>10</v>
      </c>
      <c r="D83" s="254">
        <v>1230</v>
      </c>
      <c r="E83" s="316">
        <f>D83</f>
        <v>1230</v>
      </c>
      <c r="F83" s="255">
        <v>0</v>
      </c>
      <c r="G83" s="256">
        <f>D83-F83</f>
        <v>1230</v>
      </c>
      <c r="H83" s="257">
        <f>SUM(K83:N83)</f>
        <v>1230</v>
      </c>
      <c r="I83" s="257"/>
      <c r="J83" s="257"/>
      <c r="K83" s="256">
        <v>0</v>
      </c>
      <c r="L83" s="256"/>
      <c r="M83" s="255">
        <v>1230</v>
      </c>
      <c r="N83" s="256"/>
      <c r="O83" s="112" t="s">
        <v>205</v>
      </c>
      <c r="S83" s="260"/>
    </row>
    <row r="84" spans="1:15" s="111" customFormat="1" ht="19.5" customHeight="1">
      <c r="A84" s="287"/>
      <c r="B84" s="12"/>
      <c r="C84" s="175" t="s">
        <v>187</v>
      </c>
      <c r="D84" s="142">
        <f>SUM(D81:D83)</f>
        <v>8592</v>
      </c>
      <c r="E84" s="142">
        <f aca="true" t="shared" si="9" ref="E84:N84">SUM(E81:E83)</f>
        <v>8592</v>
      </c>
      <c r="F84" s="142">
        <f t="shared" si="9"/>
        <v>3591</v>
      </c>
      <c r="G84" s="142">
        <f t="shared" si="9"/>
        <v>5001</v>
      </c>
      <c r="H84" s="142">
        <f t="shared" si="9"/>
        <v>5001</v>
      </c>
      <c r="I84" s="142">
        <f t="shared" si="9"/>
        <v>0</v>
      </c>
      <c r="J84" s="142">
        <f t="shared" si="9"/>
        <v>0</v>
      </c>
      <c r="K84" s="142">
        <f t="shared" si="9"/>
        <v>0</v>
      </c>
      <c r="L84" s="142">
        <f t="shared" si="9"/>
        <v>0</v>
      </c>
      <c r="M84" s="142">
        <f t="shared" si="9"/>
        <v>5001</v>
      </c>
      <c r="N84" s="142">
        <f t="shared" si="9"/>
        <v>0</v>
      </c>
      <c r="O84" s="163"/>
    </row>
    <row r="85" spans="1:15" s="111" customFormat="1" ht="19.5" customHeight="1">
      <c r="A85" s="287"/>
      <c r="B85" s="12"/>
      <c r="C85" s="134"/>
      <c r="D85" s="151"/>
      <c r="E85" s="151"/>
      <c r="F85" s="151"/>
      <c r="G85" s="151"/>
      <c r="H85" s="151"/>
      <c r="I85" s="151"/>
      <c r="J85" s="151"/>
      <c r="K85" s="151"/>
      <c r="L85" s="151"/>
      <c r="M85" s="151"/>
      <c r="N85" s="151"/>
      <c r="O85" s="163"/>
    </row>
    <row r="86" spans="1:15" s="111" customFormat="1" ht="19.5" customHeight="1">
      <c r="A86" s="204"/>
      <c r="B86" s="205"/>
      <c r="C86" s="133"/>
      <c r="D86" s="137"/>
      <c r="E86" s="288" t="s">
        <v>303</v>
      </c>
      <c r="F86" s="137"/>
      <c r="G86" s="137"/>
      <c r="H86" s="137"/>
      <c r="I86" s="137"/>
      <c r="J86" s="137"/>
      <c r="K86" s="137"/>
      <c r="L86" s="137"/>
      <c r="M86" s="137"/>
      <c r="N86" s="137"/>
      <c r="O86" s="163"/>
    </row>
    <row r="87" spans="1:15" s="111" customFormat="1" ht="16.5" customHeight="1">
      <c r="A87" s="204"/>
      <c r="C87" s="300" t="s">
        <v>391</v>
      </c>
      <c r="D87" s="219"/>
      <c r="E87" s="209"/>
      <c r="F87" s="137"/>
      <c r="G87" s="137"/>
      <c r="H87" s="137"/>
      <c r="I87" s="137"/>
      <c r="J87" s="137"/>
      <c r="K87" s="219"/>
      <c r="L87" s="209" t="s">
        <v>142</v>
      </c>
      <c r="M87" s="219"/>
      <c r="N87" s="219"/>
      <c r="O87" s="163"/>
    </row>
    <row r="88" spans="1:15" s="111" customFormat="1" ht="16.5" customHeight="1">
      <c r="A88" s="72"/>
      <c r="C88" s="300" t="s">
        <v>392</v>
      </c>
      <c r="D88" s="220"/>
      <c r="E88" s="202"/>
      <c r="F88" s="77"/>
      <c r="G88" s="289" t="s">
        <v>305</v>
      </c>
      <c r="I88" s="77"/>
      <c r="K88" s="220"/>
      <c r="L88" s="209" t="s">
        <v>296</v>
      </c>
      <c r="M88" s="220"/>
      <c r="N88" s="377"/>
      <c r="O88" s="163"/>
    </row>
    <row r="89" spans="1:15" ht="15.75">
      <c r="A89" s="59"/>
      <c r="B89" s="15"/>
      <c r="C89" s="202"/>
      <c r="D89" s="202"/>
      <c r="E89" s="220"/>
      <c r="F89" s="31"/>
      <c r="G89" s="12" t="s">
        <v>409</v>
      </c>
      <c r="I89" s="116"/>
      <c r="J89" s="111"/>
      <c r="K89" s="202"/>
      <c r="L89" s="202"/>
      <c r="M89" s="202"/>
      <c r="N89" s="377"/>
      <c r="O89" s="111"/>
    </row>
    <row r="90" spans="1:16" s="185" customFormat="1" ht="15.75">
      <c r="A90" s="59"/>
      <c r="B90" s="15"/>
      <c r="C90" s="234" t="s">
        <v>302</v>
      </c>
      <c r="D90" s="211"/>
      <c r="E90" s="211"/>
      <c r="F90" s="15"/>
      <c r="G90" s="290" t="s">
        <v>408</v>
      </c>
      <c r="I90" s="182"/>
      <c r="J90" s="111"/>
      <c r="K90" s="202"/>
      <c r="L90" s="201" t="s">
        <v>297</v>
      </c>
      <c r="M90" s="230"/>
      <c r="N90" s="377"/>
      <c r="O90" s="163"/>
      <c r="P90" s="111"/>
    </row>
    <row r="91" spans="1:16" s="185" customFormat="1" ht="13.5" customHeight="1">
      <c r="A91" s="216"/>
      <c r="B91" s="15"/>
      <c r="C91" s="234" t="s">
        <v>313</v>
      </c>
      <c r="D91" s="211"/>
      <c r="E91" s="283"/>
      <c r="F91" s="31"/>
      <c r="G91" s="31"/>
      <c r="J91" s="215"/>
      <c r="K91" s="284"/>
      <c r="L91" s="201" t="s">
        <v>298</v>
      </c>
      <c r="M91" s="230"/>
      <c r="N91" s="377"/>
      <c r="O91" s="273"/>
      <c r="P91" s="163"/>
    </row>
    <row r="92" spans="1:14" ht="15.75">
      <c r="A92" s="216"/>
      <c r="B92" s="182"/>
      <c r="C92" s="201"/>
      <c r="D92" s="239"/>
      <c r="E92" s="201"/>
      <c r="F92" s="185"/>
      <c r="G92" s="182"/>
      <c r="H92" s="214"/>
      <c r="I92" s="217"/>
      <c r="J92" s="31"/>
      <c r="K92" s="182"/>
      <c r="L92" s="185"/>
      <c r="M92" s="185"/>
      <c r="N92" s="185"/>
    </row>
    <row r="93" spans="1:14" ht="15">
      <c r="A93" s="214"/>
      <c r="B93" s="214"/>
      <c r="C93" s="214"/>
      <c r="D93" s="214"/>
      <c r="E93" s="214"/>
      <c r="F93" s="15"/>
      <c r="G93" s="214"/>
      <c r="H93" s="214"/>
      <c r="I93" s="214"/>
      <c r="J93" s="214"/>
      <c r="K93" s="215"/>
      <c r="L93" s="31"/>
      <c r="M93" s="182"/>
      <c r="N93" s="33"/>
    </row>
    <row r="94" ht="13.5">
      <c r="J94" s="116"/>
    </row>
    <row r="95" spans="2:10" ht="13.5">
      <c r="B95" s="218"/>
      <c r="J95" s="116"/>
    </row>
    <row r="96" spans="4:14" ht="13.5">
      <c r="D96" s="15"/>
      <c r="E96" s="15"/>
      <c r="F96" s="15"/>
      <c r="G96" s="15"/>
      <c r="H96" s="116"/>
      <c r="I96" s="116"/>
      <c r="J96" s="116"/>
      <c r="K96" s="15"/>
      <c r="L96" s="15"/>
      <c r="M96" s="15"/>
      <c r="N96" s="15"/>
    </row>
    <row r="97" spans="4:14" ht="13.5">
      <c r="D97" s="15"/>
      <c r="E97" s="15"/>
      <c r="F97" s="15"/>
      <c r="G97" s="15"/>
      <c r="H97" s="116"/>
      <c r="I97" s="116"/>
      <c r="J97" s="116"/>
      <c r="K97" s="15"/>
      <c r="L97" s="15"/>
      <c r="M97" s="15"/>
      <c r="N97" s="15"/>
    </row>
    <row r="98" spans="1:14" ht="13.5">
      <c r="A98" s="15"/>
      <c r="B98" s="15"/>
      <c r="C98" s="15"/>
      <c r="D98" s="15"/>
      <c r="E98" s="15"/>
      <c r="F98" s="15"/>
      <c r="G98" s="15"/>
      <c r="H98" s="116"/>
      <c r="I98" s="116"/>
      <c r="J98" s="116"/>
      <c r="K98" s="15"/>
      <c r="L98" s="15"/>
      <c r="M98" s="15"/>
      <c r="N98" s="15"/>
    </row>
    <row r="99" ht="12.75">
      <c r="B99" s="218"/>
    </row>
  </sheetData>
  <sheetProtection/>
  <mergeCells count="1">
    <mergeCell ref="A7:N7"/>
  </mergeCells>
  <printOptions/>
  <pageMargins left="0.4330708661417323" right="0.35433070866141736" top="0.7874015748031497" bottom="0.7874015748031497" header="0.2362204724409449" footer="0.7874015748031497"/>
  <pageSetup horizontalDpi="600" verticalDpi="600" orientation="landscape" paperSize="9" r:id="rId2"/>
  <headerFooter alignWithMargins="0">
    <oddFooter xml:space="preserve">&amp;C&amp;8Pagina &amp;P din &amp;N&amp;R&amp;8(L1) HCL nr. din
Alte cheltuieli asimilate investițiilor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ltiganila</cp:lastModifiedBy>
  <cp:lastPrinted>2022-01-12T15:30:37Z</cp:lastPrinted>
  <dcterms:created xsi:type="dcterms:W3CDTF">1996-10-14T23:33:28Z</dcterms:created>
  <dcterms:modified xsi:type="dcterms:W3CDTF">2022-01-12T15:31:19Z</dcterms:modified>
  <cp:category/>
  <cp:version/>
  <cp:contentType/>
  <cp:contentStatus/>
</cp:coreProperties>
</file>